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pc\Documents\Shakil-Laptop-ISC\Business Proposal-MOM-MOU\Business Proposal-NTT-Red Chili-Restaurent-Dr Shaarouz sb\Business Proposal-v1.1\"/>
    </mc:Choice>
  </mc:AlternateContent>
  <xr:revisionPtr revIDLastSave="0" documentId="13_ncr:1_{238949E2-5676-45AD-BF78-A4CCBB4D3570}" xr6:coauthVersionLast="36" xr6:coauthVersionMax="36" xr10:uidLastSave="{00000000-0000-0000-0000-000000000000}"/>
  <bookViews>
    <workbookView xWindow="0" yWindow="0" windowWidth="23040" windowHeight="8940" tabRatio="500" firstSheet="2" activeTab="6" xr2:uid="{00000000-000D-0000-FFFF-FFFF00000000}"/>
  </bookViews>
  <sheets>
    <sheet name="0. Cover" sheetId="1" r:id="rId1"/>
    <sheet name="1. Assumptions" sheetId="2" r:id="rId2"/>
    <sheet name="2. Dynamic Menu" sheetId="3" r:id="rId3"/>
    <sheet name="3. E-Catering" sheetId="4" r:id="rId4"/>
    <sheet name="4. Loyalty Club" sheetId="5" r:id="rId5"/>
    <sheet name="5. Franchise" sheetId="6" r:id="rId6"/>
    <sheet name="6. Tech Build Cost" sheetId="7" r:id="rId7"/>
    <sheet name="7. Marketing Cost" sheetId="8" r:id="rId8"/>
    <sheet name="8. SPV Economics" sheetId="9" r:id="rId9"/>
    <sheet name="9. Equity Scenarios" sheetId="10" r:id="rId10"/>
    <sheet name="10. Sensitivity" sheetId="11" r:id="rId1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3" i="10" l="1"/>
  <c r="D23" i="10"/>
  <c r="C23" i="10"/>
  <c r="G33" i="9"/>
  <c r="F33" i="9"/>
  <c r="F26" i="9"/>
  <c r="C25" i="9"/>
  <c r="G21" i="8"/>
  <c r="G25" i="9" s="1"/>
  <c r="C21" i="8"/>
  <c r="G19" i="8"/>
  <c r="F19" i="8"/>
  <c r="E19" i="8"/>
  <c r="D19" i="8"/>
  <c r="C19" i="8"/>
  <c r="G12" i="8"/>
  <c r="F12" i="8"/>
  <c r="F21" i="8" s="1"/>
  <c r="F25" i="9" s="1"/>
  <c r="F28" i="9" s="1"/>
  <c r="E12" i="8"/>
  <c r="E21" i="8" s="1"/>
  <c r="E25" i="9" s="1"/>
  <c r="E28" i="9" s="1"/>
  <c r="D12" i="8"/>
  <c r="D21" i="8" s="1"/>
  <c r="C12" i="8"/>
  <c r="G26" i="7"/>
  <c r="G29" i="7" s="1"/>
  <c r="F26" i="7"/>
  <c r="F29" i="7" s="1"/>
  <c r="E26" i="7"/>
  <c r="E29" i="7" s="1"/>
  <c r="D26" i="7"/>
  <c r="D29" i="7" s="1"/>
  <c r="G24" i="7"/>
  <c r="G26" i="9" s="1"/>
  <c r="F24" i="7"/>
  <c r="E24" i="7"/>
  <c r="E26" i="9" s="1"/>
  <c r="D24" i="7"/>
  <c r="D26" i="9" s="1"/>
  <c r="C24" i="7"/>
  <c r="C26" i="9" s="1"/>
  <c r="C28" i="9" s="1"/>
  <c r="G16" i="7"/>
  <c r="F16" i="7"/>
  <c r="E16" i="7"/>
  <c r="E33" i="9" s="1"/>
  <c r="D16" i="7"/>
  <c r="D33" i="9" s="1"/>
  <c r="C16" i="7"/>
  <c r="C33" i="9" s="1"/>
  <c r="G40" i="6"/>
  <c r="F40" i="6"/>
  <c r="E40" i="6"/>
  <c r="D39" i="6"/>
  <c r="G34" i="6"/>
  <c r="F34" i="6"/>
  <c r="E34" i="6"/>
  <c r="D34" i="6"/>
  <c r="C34" i="6"/>
  <c r="G31" i="6"/>
  <c r="G32" i="6" s="1"/>
  <c r="F31" i="6"/>
  <c r="E31" i="6"/>
  <c r="D31" i="6"/>
  <c r="C31" i="6"/>
  <c r="G30" i="6"/>
  <c r="F30" i="6"/>
  <c r="E30" i="6"/>
  <c r="D30" i="6"/>
  <c r="C30" i="6"/>
  <c r="G29" i="6"/>
  <c r="F29" i="6"/>
  <c r="E29" i="6"/>
  <c r="E32" i="6" s="1"/>
  <c r="D29" i="6"/>
  <c r="C29" i="6"/>
  <c r="G28" i="6"/>
  <c r="F28" i="6"/>
  <c r="F32" i="6" s="1"/>
  <c r="E28" i="6"/>
  <c r="D28" i="6"/>
  <c r="D32" i="6" s="1"/>
  <c r="C28" i="6"/>
  <c r="C32" i="6" s="1"/>
  <c r="G24" i="6"/>
  <c r="F24" i="6"/>
  <c r="G23" i="6"/>
  <c r="F23" i="6"/>
  <c r="E23" i="6"/>
  <c r="D23" i="6"/>
  <c r="F22" i="6"/>
  <c r="E22" i="6"/>
  <c r="D22" i="6"/>
  <c r="E21" i="6"/>
  <c r="E25" i="6" s="1"/>
  <c r="E36" i="6" s="1"/>
  <c r="D21" i="6"/>
  <c r="C21" i="6"/>
  <c r="G18" i="6"/>
  <c r="F18" i="6"/>
  <c r="E18" i="6"/>
  <c r="E24" i="6" s="1"/>
  <c r="D18" i="6"/>
  <c r="D24" i="6" s="1"/>
  <c r="C18" i="6"/>
  <c r="C24" i="6" s="1"/>
  <c r="G17" i="6"/>
  <c r="F17" i="6"/>
  <c r="E17" i="6"/>
  <c r="D17" i="6"/>
  <c r="C17" i="6"/>
  <c r="C23" i="6" s="1"/>
  <c r="G16" i="6"/>
  <c r="G22" i="6" s="1"/>
  <c r="F16" i="6"/>
  <c r="E16" i="6"/>
  <c r="D16" i="6"/>
  <c r="C16" i="6"/>
  <c r="C22" i="6" s="1"/>
  <c r="G15" i="6"/>
  <c r="G21" i="6" s="1"/>
  <c r="G25" i="6" s="1"/>
  <c r="F15" i="6"/>
  <c r="F21" i="6" s="1"/>
  <c r="F25" i="6" s="1"/>
  <c r="E15" i="6"/>
  <c r="D15" i="6"/>
  <c r="C15" i="6"/>
  <c r="G12" i="6"/>
  <c r="G39" i="6" s="1"/>
  <c r="G42" i="6" s="1"/>
  <c r="G19" i="9" s="1"/>
  <c r="F12" i="6"/>
  <c r="F39" i="6" s="1"/>
  <c r="F42" i="6" s="1"/>
  <c r="F19" i="9" s="1"/>
  <c r="E12" i="6"/>
  <c r="E39" i="6" s="1"/>
  <c r="E42" i="6" s="1"/>
  <c r="E19" i="9" s="1"/>
  <c r="D12" i="6"/>
  <c r="D40" i="6" s="1"/>
  <c r="C12" i="6"/>
  <c r="C39" i="6" s="1"/>
  <c r="G21" i="5"/>
  <c r="F21" i="5"/>
  <c r="E21" i="5"/>
  <c r="D21" i="5"/>
  <c r="C21" i="5"/>
  <c r="C9" i="5"/>
  <c r="C10" i="5" s="1"/>
  <c r="G20" i="4"/>
  <c r="F20" i="4"/>
  <c r="E20" i="4"/>
  <c r="E19" i="4"/>
  <c r="D19" i="4"/>
  <c r="C19" i="4"/>
  <c r="G18" i="4"/>
  <c r="E18" i="4"/>
  <c r="D18" i="4"/>
  <c r="C18" i="4"/>
  <c r="C17" i="4"/>
  <c r="C21" i="4" s="1"/>
  <c r="G14" i="4"/>
  <c r="F14" i="4"/>
  <c r="E14" i="4"/>
  <c r="D14" i="4"/>
  <c r="D20" i="4" s="1"/>
  <c r="C14" i="4"/>
  <c r="C20" i="4" s="1"/>
  <c r="G13" i="4"/>
  <c r="G19" i="4" s="1"/>
  <c r="F13" i="4"/>
  <c r="F19" i="4" s="1"/>
  <c r="E13" i="4"/>
  <c r="D13" i="4"/>
  <c r="C13" i="4"/>
  <c r="G12" i="4"/>
  <c r="F12" i="4"/>
  <c r="F18" i="4" s="1"/>
  <c r="E12" i="4"/>
  <c r="D12" i="4"/>
  <c r="C12" i="4"/>
  <c r="G11" i="4"/>
  <c r="G17" i="4" s="1"/>
  <c r="G21" i="4" s="1"/>
  <c r="F11" i="4"/>
  <c r="F17" i="4" s="1"/>
  <c r="E11" i="4"/>
  <c r="E17" i="4" s="1"/>
  <c r="E21" i="4" s="1"/>
  <c r="D11" i="4"/>
  <c r="D17" i="4" s="1"/>
  <c r="C11" i="4"/>
  <c r="G18" i="3"/>
  <c r="F18" i="3"/>
  <c r="E18" i="3"/>
  <c r="D18" i="3"/>
  <c r="C16" i="3"/>
  <c r="C18" i="3" s="1"/>
  <c r="G12" i="3"/>
  <c r="G21" i="3" s="1"/>
  <c r="F12" i="3"/>
  <c r="F8" i="9" s="1"/>
  <c r="E12" i="3"/>
  <c r="E21" i="3" s="1"/>
  <c r="G11" i="3"/>
  <c r="F11" i="3"/>
  <c r="E11" i="3"/>
  <c r="D11" i="3"/>
  <c r="C11" i="3"/>
  <c r="G9" i="3"/>
  <c r="F9" i="3"/>
  <c r="F13" i="3" s="1"/>
  <c r="E9" i="3"/>
  <c r="E13" i="3" s="1"/>
  <c r="D9" i="3"/>
  <c r="C9" i="3"/>
  <c r="G8" i="3"/>
  <c r="F8" i="3"/>
  <c r="E8" i="3"/>
  <c r="D8" i="3"/>
  <c r="C8" i="3"/>
  <c r="G7" i="3"/>
  <c r="F7" i="3"/>
  <c r="E7" i="3"/>
  <c r="D7" i="3"/>
  <c r="C7" i="3"/>
  <c r="G23" i="4" l="1"/>
  <c r="G28" i="4" s="1"/>
  <c r="G27" i="4"/>
  <c r="E12" i="9"/>
  <c r="E44" i="6"/>
  <c r="C23" i="5"/>
  <c r="C11" i="5"/>
  <c r="C15" i="5"/>
  <c r="G28" i="9"/>
  <c r="G36" i="6"/>
  <c r="C22" i="8"/>
  <c r="D25" i="9"/>
  <c r="D28" i="9" s="1"/>
  <c r="E10" i="10"/>
  <c r="D10" i="10"/>
  <c r="C10" i="10"/>
  <c r="C25" i="6"/>
  <c r="C36" i="6" s="1"/>
  <c r="C27" i="4"/>
  <c r="C23" i="4"/>
  <c r="C28" i="4" s="1"/>
  <c r="D21" i="4"/>
  <c r="F36" i="6"/>
  <c r="E23" i="4"/>
  <c r="E28" i="4" s="1"/>
  <c r="E27" i="4"/>
  <c r="E23" i="3"/>
  <c r="E22" i="3"/>
  <c r="E16" i="9" s="1"/>
  <c r="G23" i="3"/>
  <c r="G22" i="3"/>
  <c r="G16" i="9" s="1"/>
  <c r="G24" i="3"/>
  <c r="F21" i="4"/>
  <c r="D25" i="6"/>
  <c r="D36" i="6" s="1"/>
  <c r="D42" i="6"/>
  <c r="D19" i="9" s="1"/>
  <c r="G8" i="9"/>
  <c r="C12" i="3"/>
  <c r="C13" i="3" s="1"/>
  <c r="G13" i="3"/>
  <c r="C22" i="5"/>
  <c r="D12" i="3"/>
  <c r="D13" i="3" s="1"/>
  <c r="C40" i="6"/>
  <c r="C42" i="6" s="1"/>
  <c r="C19" i="9" s="1"/>
  <c r="C26" i="7"/>
  <c r="D9" i="5"/>
  <c r="E8" i="9"/>
  <c r="C14" i="5"/>
  <c r="F21" i="3"/>
  <c r="C16" i="5" l="1"/>
  <c r="C24" i="5"/>
  <c r="D12" i="9"/>
  <c r="D44" i="6"/>
  <c r="C25" i="5"/>
  <c r="E24" i="3"/>
  <c r="D14" i="5"/>
  <c r="E9" i="5"/>
  <c r="D22" i="5"/>
  <c r="D10" i="5"/>
  <c r="C13" i="10"/>
  <c r="C41" i="10"/>
  <c r="G12" i="9"/>
  <c r="G44" i="6"/>
  <c r="D27" i="4"/>
  <c r="D23" i="4"/>
  <c r="D28" i="4" s="1"/>
  <c r="D13" i="10"/>
  <c r="D41" i="10"/>
  <c r="F23" i="4"/>
  <c r="F28" i="4" s="1"/>
  <c r="F27" i="4"/>
  <c r="C8" i="10"/>
  <c r="C9" i="10" s="1"/>
  <c r="C29" i="7"/>
  <c r="C27" i="7"/>
  <c r="E8" i="10"/>
  <c r="E9" i="10" s="1"/>
  <c r="D8" i="10"/>
  <c r="D9" i="10" s="1"/>
  <c r="C24" i="4"/>
  <c r="E13" i="10"/>
  <c r="E41" i="10"/>
  <c r="G24" i="4"/>
  <c r="C17" i="5"/>
  <c r="C18" i="5" s="1"/>
  <c r="C11" i="9" s="1"/>
  <c r="C8" i="9"/>
  <c r="C21" i="3"/>
  <c r="E24" i="4"/>
  <c r="D21" i="3"/>
  <c r="D8" i="9"/>
  <c r="C12" i="9"/>
  <c r="C44" i="6"/>
  <c r="F23" i="3"/>
  <c r="F22" i="3"/>
  <c r="F16" i="9" s="1"/>
  <c r="F12" i="9"/>
  <c r="F44" i="6"/>
  <c r="E14" i="5" l="1"/>
  <c r="F9" i="5"/>
  <c r="E22" i="5"/>
  <c r="E10" i="5"/>
  <c r="G9" i="9"/>
  <c r="G29" i="4"/>
  <c r="G31" i="4" s="1"/>
  <c r="G17" i="9" s="1"/>
  <c r="D23" i="3"/>
  <c r="D22" i="3"/>
  <c r="D24" i="4"/>
  <c r="C27" i="5"/>
  <c r="C18" i="9" s="1"/>
  <c r="C10" i="9"/>
  <c r="C13" i="9" s="1"/>
  <c r="C28" i="5"/>
  <c r="E36" i="10"/>
  <c r="E14" i="10"/>
  <c r="E29" i="4"/>
  <c r="E31" i="4" s="1"/>
  <c r="E17" i="9" s="1"/>
  <c r="E33" i="4"/>
  <c r="E9" i="9"/>
  <c r="E34" i="4"/>
  <c r="C14" i="10"/>
  <c r="C36" i="10"/>
  <c r="D15" i="10"/>
  <c r="D19" i="10" s="1"/>
  <c r="C29" i="4"/>
  <c r="C31" i="4" s="1"/>
  <c r="C17" i="9" s="1"/>
  <c r="C33" i="4"/>
  <c r="C34" i="4"/>
  <c r="C9" i="9"/>
  <c r="C23" i="3"/>
  <c r="C22" i="3"/>
  <c r="C16" i="9" s="1"/>
  <c r="F24" i="3"/>
  <c r="D23" i="5"/>
  <c r="D11" i="5"/>
  <c r="D15" i="5"/>
  <c r="D36" i="10"/>
  <c r="D14" i="10"/>
  <c r="F24" i="4"/>
  <c r="C15" i="10"/>
  <c r="C19" i="10" s="1"/>
  <c r="E17" i="5" l="1"/>
  <c r="D16" i="5"/>
  <c r="D18" i="5" s="1"/>
  <c r="D11" i="9" s="1"/>
  <c r="D24" i="5"/>
  <c r="D25" i="5" s="1"/>
  <c r="D17" i="5"/>
  <c r="D16" i="9"/>
  <c r="D29" i="4"/>
  <c r="D31" i="4" s="1"/>
  <c r="D17" i="9" s="1"/>
  <c r="D33" i="4"/>
  <c r="D9" i="9"/>
  <c r="D34" i="4"/>
  <c r="C18" i="10"/>
  <c r="E15" i="10"/>
  <c r="E19" i="10" s="1"/>
  <c r="C20" i="9"/>
  <c r="C22" i="9" s="1"/>
  <c r="C30" i="9" s="1"/>
  <c r="E23" i="5"/>
  <c r="E15" i="5"/>
  <c r="E11" i="5"/>
  <c r="F33" i="4"/>
  <c r="C36" i="4" s="1"/>
  <c r="F9" i="9"/>
  <c r="F29" i="4"/>
  <c r="F31" i="4" s="1"/>
  <c r="F17" i="9" s="1"/>
  <c r="C24" i="3"/>
  <c r="D18" i="10"/>
  <c r="D24" i="3"/>
  <c r="G9" i="5"/>
  <c r="F14" i="5"/>
  <c r="F22" i="5"/>
  <c r="F10" i="5"/>
  <c r="G33" i="4"/>
  <c r="G34" i="4" s="1"/>
  <c r="C36" i="9" l="1"/>
  <c r="C34" i="9"/>
  <c r="C31" i="9"/>
  <c r="D10" i="9"/>
  <c r="D27" i="5"/>
  <c r="D18" i="9" s="1"/>
  <c r="D20" i="9" s="1"/>
  <c r="E16" i="5"/>
  <c r="E18" i="5" s="1"/>
  <c r="E11" i="9" s="1"/>
  <c r="E24" i="5"/>
  <c r="E25" i="5" s="1"/>
  <c r="G22" i="5"/>
  <c r="G10" i="5"/>
  <c r="G14" i="5"/>
  <c r="C25" i="3"/>
  <c r="F34" i="4"/>
  <c r="D13" i="9"/>
  <c r="F23" i="5"/>
  <c r="F11" i="5"/>
  <c r="F15" i="5"/>
  <c r="E18" i="10"/>
  <c r="D28" i="5" l="1"/>
  <c r="G11" i="5"/>
  <c r="G23" i="5"/>
  <c r="G15" i="5"/>
  <c r="G17" i="5"/>
  <c r="E10" i="9"/>
  <c r="E13" i="9" s="1"/>
  <c r="E27" i="5"/>
  <c r="E18" i="9" s="1"/>
  <c r="E20" i="9" s="1"/>
  <c r="F16" i="5"/>
  <c r="F24" i="5"/>
  <c r="F25" i="5" s="1"/>
  <c r="F17" i="5"/>
  <c r="D22" i="9"/>
  <c r="D30" i="9" s="1"/>
  <c r="D34" i="9" s="1"/>
  <c r="D36" i="9"/>
  <c r="F18" i="5" l="1"/>
  <c r="F11" i="9" s="1"/>
  <c r="F10" i="9"/>
  <c r="F13" i="9" s="1"/>
  <c r="F27" i="5"/>
  <c r="F18" i="9" s="1"/>
  <c r="F20" i="9" s="1"/>
  <c r="E31" i="9"/>
  <c r="E22" i="9"/>
  <c r="E30" i="9" s="1"/>
  <c r="E34" i="9" s="1"/>
  <c r="E36" i="9"/>
  <c r="G16" i="5"/>
  <c r="G18" i="5" s="1"/>
  <c r="G11" i="9" s="1"/>
  <c r="G24" i="5"/>
  <c r="G25" i="5" s="1"/>
  <c r="E28" i="5"/>
  <c r="D31" i="9"/>
  <c r="G10" i="9" l="1"/>
  <c r="G13" i="9" s="1"/>
  <c r="G27" i="5"/>
  <c r="G18" i="9" s="1"/>
  <c r="G20" i="9" s="1"/>
  <c r="F22" i="9"/>
  <c r="F30" i="9" s="1"/>
  <c r="F34" i="9" s="1"/>
  <c r="F31" i="9"/>
  <c r="F28" i="5"/>
  <c r="F36" i="9" l="1"/>
  <c r="G28" i="5"/>
  <c r="C30" i="5" s="1"/>
  <c r="G31" i="9"/>
  <c r="G22" i="9"/>
  <c r="G30" i="9" s="1"/>
  <c r="C7" i="11"/>
  <c r="E7" i="11" l="1"/>
  <c r="C20" i="11"/>
  <c r="C17" i="11"/>
  <c r="C12" i="11"/>
  <c r="C19" i="11"/>
  <c r="C14" i="11"/>
  <c r="C11" i="11"/>
  <c r="C18" i="11"/>
  <c r="C13" i="11"/>
  <c r="C10" i="11"/>
  <c r="D7" i="11"/>
  <c r="G34" i="9"/>
  <c r="E26" i="10"/>
  <c r="E28" i="10" s="1"/>
  <c r="D26" i="10"/>
  <c r="D28" i="10" s="1"/>
  <c r="C26" i="10"/>
  <c r="C28" i="10" s="1"/>
  <c r="G36" i="9"/>
  <c r="F7" i="11" l="1"/>
  <c r="D20" i="11"/>
  <c r="F20" i="11" s="1"/>
  <c r="D17" i="11"/>
  <c r="F17" i="11" s="1"/>
  <c r="D12" i="11"/>
  <c r="F12" i="11" s="1"/>
  <c r="D19" i="11"/>
  <c r="F19" i="11" s="1"/>
  <c r="D14" i="11"/>
  <c r="F14" i="11" s="1"/>
  <c r="D11" i="11"/>
  <c r="F11" i="11" s="1"/>
  <c r="D18" i="11"/>
  <c r="F18" i="11" s="1"/>
  <c r="D13" i="11"/>
  <c r="F13" i="11" s="1"/>
  <c r="D10" i="11"/>
  <c r="F10" i="11" s="1"/>
  <c r="E13" i="11"/>
  <c r="E18" i="11"/>
  <c r="E31" i="10"/>
  <c r="E35" i="10" s="1"/>
  <c r="E37" i="10" s="1"/>
  <c r="E32" i="10"/>
  <c r="E40" i="10" s="1"/>
  <c r="E42" i="10" s="1"/>
  <c r="E19" i="11"/>
  <c r="E12" i="11"/>
  <c r="C32" i="10"/>
  <c r="C40" i="10" s="1"/>
  <c r="C42" i="10" s="1"/>
  <c r="C31" i="10"/>
  <c r="C35" i="10" s="1"/>
  <c r="C37" i="10" s="1"/>
  <c r="E17" i="11"/>
  <c r="D31" i="10"/>
  <c r="D35" i="10" s="1"/>
  <c r="D37" i="10" s="1"/>
  <c r="D32" i="10"/>
  <c r="D40" i="10" s="1"/>
  <c r="D42" i="10" s="1"/>
  <c r="E10" i="11" l="1"/>
  <c r="E11" i="11"/>
  <c r="E20" i="11"/>
  <c r="E14" i="11"/>
</calcChain>
</file>

<file path=xl/sharedStrings.xml><?xml version="1.0" encoding="utf-8"?>
<sst xmlns="http://schemas.openxmlformats.org/spreadsheetml/2006/main" count="531" uniqueCount="440">
  <si>
    <t>RED CHILI × NTT/VVG</t>
  </si>
  <si>
    <t>Cost Book &amp; Financial Model</t>
  </si>
  <si>
    <t>CONFIDENTIAL · FOR DR. SHAROUZ KHAN AND AUTHORISED REVIEWERS ONLY</t>
  </si>
  <si>
    <t>Prepared by: NTT Groups | World Business Groups | Vivid Verse Global</t>
  </si>
  <si>
    <t>WORKBOOK STRUCTURE</t>
  </si>
  <si>
    <t>Sheet</t>
  </si>
  <si>
    <t>Purpose</t>
  </si>
  <si>
    <t>Type</t>
  </si>
  <si>
    <t>1. Assumptions</t>
  </si>
  <si>
    <t>Master assumptions — all inputs flow from here. EDIT HERE.</t>
  </si>
  <si>
    <t>Inputs</t>
  </si>
  <si>
    <t>2. Dynamic Menu</t>
  </si>
  <si>
    <t>Initiative 1: 21% revenue lift model (per VVG pilot proposal).</t>
  </si>
  <si>
    <t>Per-initiative</t>
  </si>
  <si>
    <t>3. E-Catering</t>
  </si>
  <si>
    <t>Initiative 2: tier-by-tier event pricing and 24-month buildup.</t>
  </si>
  <si>
    <t>4. Loyalty Club</t>
  </si>
  <si>
    <t>Initiative 3: wallet economics, tier ladder, retention math.</t>
  </si>
  <si>
    <t>5. Franchise</t>
  </si>
  <si>
    <t>Initiative 4: unit economics for Family / Express / Snack / Tea.</t>
  </si>
  <si>
    <t>6. Tech Build Cost</t>
  </si>
  <si>
    <t>NTT/VVG build cost detail by component &amp; ongoing maintenance.</t>
  </si>
  <si>
    <t>Cost detail</t>
  </si>
  <si>
    <t>7. Marketing Cost</t>
  </si>
  <si>
    <t>Dr. Khan's marketing budget breakdown (Pixel Prism, FTEs, etc).</t>
  </si>
  <si>
    <t>8. SPV Economics</t>
  </si>
  <si>
    <t>Roll-up: SPV revenue, EBITDA, cash flow Year 1-5.</t>
  </si>
  <si>
    <t>Roll-up</t>
  </si>
  <si>
    <t>9. Equity Scenarios</t>
  </si>
  <si>
    <t>Three scenarios (A/B/C) with valuation math behind each split.</t>
  </si>
  <si>
    <t>Decision</t>
  </si>
  <si>
    <t>10. Sensitivity</t>
  </si>
  <si>
    <t>What if revenue lift = 10%? What if catering ramps slower?</t>
  </si>
  <si>
    <t>COLOR CODING (Industry Standard)</t>
  </si>
  <si>
    <t>BLUE text</t>
  </si>
  <si>
    <t>Hardcoded input — change these for scenarios</t>
  </si>
  <si>
    <t>BLACK text</t>
  </si>
  <si>
    <t>Formula / calculation — do not edit directly</t>
  </si>
  <si>
    <t>GREEN text</t>
  </si>
  <si>
    <t>Reference to another sheet in this workbook</t>
  </si>
  <si>
    <t>YELLOW background</t>
  </si>
  <si>
    <t>Key assumption requiring validation by Dr. Khan</t>
  </si>
  <si>
    <t>READ THIS BEFORE USING</t>
  </si>
  <si>
    <t>1. ALL revenue figures are working assumptions. Replace with Dr. Khan's actual financial data before relying on outputs.</t>
  </si>
  <si>
    <t>2. The +21% revenue lift figure comes from VVG's pilot proposal benchmarks (Toast, McKinsey, Harvard, NRA). It is conservative for global QSR but unproven for Red Chili specifically until pilot completes.</t>
  </si>
  <si>
    <t>3. E-catering ramp model is illustrative — assumes warm pipeline from Dr. Khan's existing relationships. Cold launch will ramp slower.</t>
  </si>
  <si>
    <t>4. Franchise economics assume successful Saudi flagship + IP/trademark ownership across target countries. Both must be verified.</t>
  </si>
  <si>
    <t>5. Equity scenarios A/B/C are frameworks. Final % requires validated tech build cost + marketing budget commitment.</t>
  </si>
  <si>
    <t>6. This model excludes: tax (VAT 15%, Zakat, corporate income tax), debt financing, Saudization quotas, real estate / fit-out for new branches.</t>
  </si>
  <si>
    <t>MASTER ASSUMPTIONS</t>
  </si>
  <si>
    <t>All inputs flow from here. Yellow cells = critical assumptions Dr. Khan must validate.</t>
  </si>
  <si>
    <t>Assumption</t>
  </si>
  <si>
    <t>Value</t>
  </si>
  <si>
    <t>Unit</t>
  </si>
  <si>
    <t>Source / Note</t>
  </si>
  <si>
    <t>A. EXISTING RED CHILI BASELINE (placeholder — REPLACE WITH ACTUAL)</t>
  </si>
  <si>
    <t>Annual revenue per branch (working assumption)</t>
  </si>
  <si>
    <t>SAR/yr</t>
  </si>
  <si>
    <t>Pending Dr. Khan's actual P&amp;L</t>
  </si>
  <si>
    <t>Number of branches</t>
  </si>
  <si>
    <t>branches</t>
  </si>
  <si>
    <t>Three Red Chili family restaurants</t>
  </si>
  <si>
    <t>Average ticket value (per cover)</t>
  </si>
  <si>
    <t>SAR</t>
  </si>
  <si>
    <t>Working assumption for elite-dining KSA</t>
  </si>
  <si>
    <t>Daily covers per branch (mature)</t>
  </si>
  <si>
    <t>covers/day</t>
  </si>
  <si>
    <t>Implied from above; may be lower</t>
  </si>
  <si>
    <t>Current EBITDA margin</t>
  </si>
  <si>
    <t>%</t>
  </si>
  <si>
    <t>Working assumption — likely lower if struggling</t>
  </si>
  <si>
    <t>Food cost % of revenue</t>
  </si>
  <si>
    <t>Industry standard for premium Indian</t>
  </si>
  <si>
    <t>Labour cost % of revenue</t>
  </si>
  <si>
    <t>Saudi minimum + Saudization mix</t>
  </si>
  <si>
    <t>Rent &amp; utilities % of revenue</t>
  </si>
  <si>
    <t>Riyadh prime locations</t>
  </si>
  <si>
    <t>B. DYNAMIC MENU PILOT (Source: VVG Pilot Proposal)</t>
  </si>
  <si>
    <t>Engagement layer revenue lift</t>
  </si>
  <si>
    <t>Loyalty + Birthday + Referral + Win-back + WhatsApp</t>
  </si>
  <si>
    <t>Ops &amp; Pricing revenue lift</t>
  </si>
  <si>
    <t>Smart Pricing + Reservations + Waitlist + Suggestive-Sell</t>
  </si>
  <si>
    <t>Menu Intelligence revenue lift</t>
  </si>
  <si>
    <t>Digital Menu + A/B + Smart Pairings + Heatmap</t>
  </si>
  <si>
    <t>Total compounded lift (Year 1)</t>
  </si>
  <si>
    <t>VVG conservative estimate</t>
  </si>
  <si>
    <t>Year 2 lift (continued)</t>
  </si>
  <si>
    <t>Decay assumption — initial novelty wears</t>
  </si>
  <si>
    <t>Year 3 lift (steady state)</t>
  </si>
  <si>
    <t>Steady state retention</t>
  </si>
  <si>
    <t>Pilot duration</t>
  </si>
  <si>
    <t>days</t>
  </si>
  <si>
    <t>Per VVG proposal</t>
  </si>
  <si>
    <t>Cost of platform per branch (one-off)</t>
  </si>
  <si>
    <t>Tablets + setup per branch</t>
  </si>
  <si>
    <t>C. E-CATERING ASSUMPTIONS</t>
  </si>
  <si>
    <t>Economy tier — avg ticket SAR</t>
  </si>
  <si>
    <t>30+ pax, basic package</t>
  </si>
  <si>
    <t>Standard tier — avg ticket SAR</t>
  </si>
  <si>
    <t>50-100 pax, mid-range</t>
  </si>
  <si>
    <t>Premium tier — avg ticket SAR</t>
  </si>
  <si>
    <t>100-250 pax, embassy/wedding</t>
  </si>
  <si>
    <t>Luxury tier — avg ticket SAR</t>
  </si>
  <si>
    <t>250+ pax, VIP/royal</t>
  </si>
  <si>
    <t>Economy tier — events/month mature</t>
  </si>
  <si>
    <t>events</t>
  </si>
  <si>
    <t>Working assumption</t>
  </si>
  <si>
    <t>Standard tier — events/month mature</t>
  </si>
  <si>
    <t>Premium tier — events/month mature</t>
  </si>
  <si>
    <t>Luxury tier — events/month mature</t>
  </si>
  <si>
    <t>Months to mature (cold start)</t>
  </si>
  <si>
    <t>months</t>
  </si>
  <si>
    <t>Linear ramp from zero</t>
  </si>
  <si>
    <t>Food cost % (blended)</t>
  </si>
  <si>
    <t>Premium catering weighted avg</t>
  </si>
  <si>
    <t>Labour cost % (catering)</t>
  </si>
  <si>
    <t>Per-event hire model</t>
  </si>
  <si>
    <t>Add-ons / equipment markup</t>
  </si>
  <si>
    <t>Pass-through with markup</t>
  </si>
  <si>
    <t>Add-ons % of food revenue</t>
  </si>
  <si>
    <t>AV, decor, equipment</t>
  </si>
  <si>
    <t>D. LOYALTY / ROYALTY CLUB</t>
  </si>
  <si>
    <t>Silver joining fee (wallet load)</t>
  </si>
  <si>
    <t>Pre-paid wallet</t>
  </si>
  <si>
    <t>Gold joining fee</t>
  </si>
  <si>
    <t>Mid-tier</t>
  </si>
  <si>
    <t>Platinum (WBC) joining fee</t>
  </si>
  <si>
    <t>Elite + lounge access</t>
  </si>
  <si>
    <t>% of dine-in customers becoming Silver</t>
  </si>
  <si>
    <t>Industry benchmark for QR enrolment</t>
  </si>
  <si>
    <t>% becoming Gold (of Silver)</t>
  </si>
  <si>
    <t>Upsell rate</t>
  </si>
  <si>
    <t>% becoming Platinum (of Gold)</t>
  </si>
  <si>
    <t>Top-tier conversion</t>
  </si>
  <si>
    <t>Silver — uplift in repeat visits</t>
  </si>
  <si>
    <t>vs non-member</t>
  </si>
  <si>
    <t>Gold — uplift in repeat visits</t>
  </si>
  <si>
    <t>Platinum — uplift in repeat visits</t>
  </si>
  <si>
    <t>Annual member wallet top-up (avg)</t>
  </si>
  <si>
    <t>Reload behaviour</t>
  </si>
  <si>
    <t>E. FRANCHISE ECONOMICS</t>
  </si>
  <si>
    <t>Family — initial fee</t>
  </si>
  <si>
    <t>10-yr term</t>
  </si>
  <si>
    <t>Express — initial fee</t>
  </si>
  <si>
    <t>7-yr term</t>
  </si>
  <si>
    <t>Snack Corner — initial fee</t>
  </si>
  <si>
    <t>5-yr term</t>
  </si>
  <si>
    <t>Tea Stall — initial fee</t>
  </si>
  <si>
    <t>Family — royalty % of revenue</t>
  </si>
  <si>
    <t>Standard QSR/fine-dining</t>
  </si>
  <si>
    <t>Express — royalty % of revenue</t>
  </si>
  <si>
    <t>QSR mid-rate</t>
  </si>
  <si>
    <t>Snack Corner — royalty % of revenue</t>
  </si>
  <si>
    <t>Higher for smaller units</t>
  </si>
  <si>
    <t>Tea Stall — royalty % of revenue</t>
  </si>
  <si>
    <t>Highest royalty (smallest unit)</t>
  </si>
  <si>
    <t>Marketing fund contribution</t>
  </si>
  <si>
    <t>All tiers</t>
  </si>
  <si>
    <t>Family unit avg annual revenue</t>
  </si>
  <si>
    <t>Pegged to Red Chili baseline</t>
  </si>
  <si>
    <t>Express unit avg annual revenue</t>
  </si>
  <si>
    <t>Mid-volume QSR</t>
  </si>
  <si>
    <t>Snack Corner avg annual revenue</t>
  </si>
  <si>
    <t>Counter unit</t>
  </si>
  <si>
    <t>Tea Stall avg annual revenue</t>
  </si>
  <si>
    <t>Micro unit</t>
  </si>
  <si>
    <t>INITIATIVE 1 — DYNAMIC MENU</t>
  </si>
  <si>
    <t>Revenue uplift across 3 Red Chili branches. Values pull from Assumptions sheet.</t>
  </si>
  <si>
    <t>Year 1</t>
  </si>
  <si>
    <t>Year 2</t>
  </si>
  <si>
    <t>Year 3</t>
  </si>
  <si>
    <t>Year 4</t>
  </si>
  <si>
    <t>Year 5</t>
  </si>
  <si>
    <t>Baseline annual revenue per branch</t>
  </si>
  <si>
    <t>Total baseline revenue</t>
  </si>
  <si>
    <t>Revenue lift % (per VVG)</t>
  </si>
  <si>
    <t>Incremental revenue (lift)</t>
  </si>
  <si>
    <t>Total revenue with platform</t>
  </si>
  <si>
    <t>ONE-OFF COSTS</t>
  </si>
  <si>
    <t>Platform deployment per branch (Year 1)</t>
  </si>
  <si>
    <t>Annual maintenance (NTT/VVG, in-kind)</t>
  </si>
  <si>
    <t>Total platform cost (in-kind contribution)</t>
  </si>
  <si>
    <t>NET INCREMENTAL CONTRIBUTION (Revenue Lift)</t>
  </si>
  <si>
    <t>Incremental revenue</t>
  </si>
  <si>
    <t>Less: incremental food cost</t>
  </si>
  <si>
    <t>Less: incremental labour</t>
  </si>
  <si>
    <t>INCREMENTAL CONTRIBUTION MARGIN</t>
  </si>
  <si>
    <t>5-Year Cumulative Contribution</t>
  </si>
  <si>
    <t>⚠ Caveat: Lift % unproven for Red Chili until 90-day pilot. Actual could be lower (esp. if brand reposition fails).</t>
  </si>
  <si>
    <t>INITIATIVE 2 — E-CATERING PLATFORM</t>
  </si>
  <si>
    <t>5-year revenue model with linear ramp from cold start to mature run-rate.</t>
  </si>
  <si>
    <t>RAMP FACTORS</t>
  </si>
  <si>
    <t>Capacity ramp (% of mature run-rate)</t>
  </si>
  <si>
    <t>ANNUAL EVENT VOLUME (BY TIER)</t>
  </si>
  <si>
    <t>Economy events/year</t>
  </si>
  <si>
    <t>Standard events/year</t>
  </si>
  <si>
    <t>Premium events/year</t>
  </si>
  <si>
    <t>Luxury events/year</t>
  </si>
  <si>
    <t>FOOD REVENUE (BY TIER)</t>
  </si>
  <si>
    <t>Economy revenue</t>
  </si>
  <si>
    <t>Standard revenue</t>
  </si>
  <si>
    <t>Premium revenue</t>
  </si>
  <si>
    <t>Luxury revenue</t>
  </si>
  <si>
    <t>Total food revenue</t>
  </si>
  <si>
    <t>Add-on revenue (AV, decor, etc)</t>
  </si>
  <si>
    <t>TOTAL E-CATERING REVENUE</t>
  </si>
  <si>
    <t>COST OF GOODS</t>
  </si>
  <si>
    <t>Food cost</t>
  </si>
  <si>
    <t>Add-on COGS (60% of add-on rev)</t>
  </si>
  <si>
    <t>Event labour (per-event hire)</t>
  </si>
  <si>
    <t>Account manager + ops salary</t>
  </si>
  <si>
    <t>Total cost of goods + ops</t>
  </si>
  <si>
    <t>GROSS CONTRIBUTION (E-CATERING)</t>
  </si>
  <si>
    <t>Contribution margin %</t>
  </si>
  <si>
    <t>⚠ Caveat: Year 1 ramp assumes warm pipeline from Dr. Khan's existing relationships. Cold launch could mean 15-20% Year 1 ramp instead of 40%.</t>
  </si>
  <si>
    <t>INITIATIVE 3 — LOYALTY / ROYALTY CLUB</t>
  </si>
  <si>
    <t>Membership growth, wallet float, and incremental revenue from member uplift.</t>
  </si>
  <si>
    <t>MEMBERSHIP BASE</t>
  </si>
  <si>
    <t>Annual unique dine-in customers (3 branches)</t>
  </si>
  <si>
    <t>Silver members (cumulative)</t>
  </si>
  <si>
    <t>Gold members (cumulative)</t>
  </si>
  <si>
    <t>Platinum (WBC) members (cumulative)</t>
  </si>
  <si>
    <t>WALLET REVENUE</t>
  </si>
  <si>
    <t>New member joining fees (Silver)</t>
  </si>
  <si>
    <t>New member joining fees (Gold)</t>
  </si>
  <si>
    <t>New member joining fees (Platinum)</t>
  </si>
  <si>
    <t>Annual top-ups (existing members)</t>
  </si>
  <si>
    <t>Total wallet inflow (deferred revenue)</t>
  </si>
  <si>
    <t>INCREMENTAL REVENUE FROM MEMBER UPLIFT</t>
  </si>
  <si>
    <t>Avg revenue per non-member customer</t>
  </si>
  <si>
    <t>Silver incremental rev (uplift x members)</t>
  </si>
  <si>
    <t>Gold incremental rev</t>
  </si>
  <si>
    <t>Platinum incremental rev</t>
  </si>
  <si>
    <t>Total incremental revenue</t>
  </si>
  <si>
    <t>Less: discount cost (avg ~12% off member visits)</t>
  </si>
  <si>
    <t>NET INCREMENTAL FROM LOYALTY</t>
  </si>
  <si>
    <t>5-Year cumulative net contribution</t>
  </si>
  <si>
    <t>⚠ Caveat: Wallet float is deferred revenue, not pure profit. Members will redeem against future spending — this is cash-flow benefit, not P&amp;L.</t>
  </si>
  <si>
    <t>INITIATIVE 4 — GLOBAL FRANCHISE SYSTEM</t>
  </si>
  <si>
    <t>Franchise unit rollout. Year 1-2 = legal/IP work. Sales begin Year 3.</t>
  </si>
  <si>
    <t>FRANCHISE UNITS SOLD (Cumulative)</t>
  </si>
  <si>
    <t>Family units (cumulative)</t>
  </si>
  <si>
    <t>Express units (cumulative)</t>
  </si>
  <si>
    <t>Snack Corner units (cumulative)</t>
  </si>
  <si>
    <t>Tea Stall units (cumulative)</t>
  </si>
  <si>
    <t>Total units</t>
  </si>
  <si>
    <t>NEW UNITS SOLD (Year-over-year)</t>
  </si>
  <si>
    <t>New Family units</t>
  </si>
  <si>
    <t>New Express units</t>
  </si>
  <si>
    <t>New Snack Corner units</t>
  </si>
  <si>
    <t>New Tea Stall units</t>
  </si>
  <si>
    <t>INITIAL FRANCHISE FEE REVENUE (one-time, on signing)</t>
  </si>
  <si>
    <t>Family initial fees</t>
  </si>
  <si>
    <t>Express initial fees</t>
  </si>
  <si>
    <t>Snack Corner initial fees</t>
  </si>
  <si>
    <t>Tea Stall initial fees</t>
  </si>
  <si>
    <t>Total initial fee revenue</t>
  </si>
  <si>
    <t>RECURRING ROYALTY REVENUE</t>
  </si>
  <si>
    <t>Family royalty (5% of Family unit rev)</t>
  </si>
  <si>
    <t>Express royalty</t>
  </si>
  <si>
    <t>Snack Corner royalty</t>
  </si>
  <si>
    <t>Tea Stall royalty</t>
  </si>
  <si>
    <t>Total royalty revenue</t>
  </si>
  <si>
    <t>Marketing fund (1% of system rev)</t>
  </si>
  <si>
    <t>TOTAL FRANCHISE SPV REVENUE (initial + royalty)</t>
  </si>
  <si>
    <t>FRANCHISE OPS COSTS</t>
  </si>
  <si>
    <t>Franchise development team (3 FTEs)</t>
  </si>
  <si>
    <t>Master ERP hosting + maintenance</t>
  </si>
  <si>
    <t>Legal / IP / international filings</t>
  </si>
  <si>
    <t>Total franchise ops cost</t>
  </si>
  <si>
    <t>FRANCHISE NET CONTRIBUTION</t>
  </si>
  <si>
    <t>⚠ Caveat: Unit volumes are illustrative. Actual ramp depends on (a) Saudi flagship proving brand pull, (b) trademark ownership in target countries, (c) franchisee acquisition cost. First 5 units typically take 18+ months of effort each.</t>
  </si>
  <si>
    <t>NTT/VVG TECH BUILD &amp; MAINTENANCE COST</t>
  </si>
  <si>
    <t>Component-level breakdown of NTT/VVG's in-kind contribution to the SPV.</t>
  </si>
  <si>
    <t>Component</t>
  </si>
  <si>
    <t>Notes</t>
  </si>
  <si>
    <t>ONE-OFF BUILD (Year 1)</t>
  </si>
  <si>
    <t>Dynamic Menu platform (per VVG)</t>
  </si>
  <si>
    <t>VVG existing IP + customisation</t>
  </si>
  <si>
    <t>E-Catering platform (web + admin)</t>
  </si>
  <si>
    <t>Customer + ops portal + dispatch</t>
  </si>
  <si>
    <t>E-Catering iOS + Android apps</t>
  </si>
  <si>
    <t>Native customer-facing apps</t>
  </si>
  <si>
    <t>Loyalty / wallet system</t>
  </si>
  <si>
    <t>QR enrolment, tier mgmt, redemption</t>
  </si>
  <si>
    <t>Franchise master ERP</t>
  </si>
  <si>
    <t>Multi-tenant: units, royalty calc, reports</t>
  </si>
  <si>
    <t>Gateway portal + admin layer</t>
  </si>
  <si>
    <t>SSO, role mgmt, audit logging</t>
  </si>
  <si>
    <t>Integration layer (POS, payments)</t>
  </si>
  <si>
    <t>Mada, Apple Pay, STC Pay, Foodics</t>
  </si>
  <si>
    <t>Data / intelligence dashboards</t>
  </si>
  <si>
    <t>Cross-platform analytics</t>
  </si>
  <si>
    <t>Subtotal — one-off build</t>
  </si>
  <si>
    <t>RECURRING MAINTENANCE + HOSTING + INNOVATION</t>
  </si>
  <si>
    <t>Cloud hosting (AWS/Azure)</t>
  </si>
  <si>
    <t>Scales with usage</t>
  </si>
  <si>
    <t>Bug fixes + minor enhancements</t>
  </si>
  <si>
    <t>1.0 FTE engineering</t>
  </si>
  <si>
    <t>Security + compliance</t>
  </si>
  <si>
    <t>Pen-test, audit, patches</t>
  </si>
  <si>
    <t>Innovation pipeline (new features)</t>
  </si>
  <si>
    <t>Roadmap-driven additions</t>
  </si>
  <si>
    <t>Account mgmt + customer success</t>
  </si>
  <si>
    <t>0.5 FTE customer success</t>
  </si>
  <si>
    <t>Subtotal — recurring</t>
  </si>
  <si>
    <t>TOTAL NTT/VVG IN-KIND CONTRIBUTION</t>
  </si>
  <si>
    <t>5-Year Cumulative NTT/VVG Investment</t>
  </si>
  <si>
    <t>Cash equivalent (if NTT charged market rates, ~30% gross margin)</t>
  </si>
  <si>
    <t>⚠ This represents NTT/VVG's contribution to the SPV. Equity % must be commensurate with this AND the marketing/ops contribution Dr. Khan makes.</t>
  </si>
  <si>
    <t>DR. KHAN MARKETING &amp; OPS BUDGET</t>
  </si>
  <si>
    <t>Cash budget Dr. Khan commits to the SPV (must be ringfenced in charter).</t>
  </si>
  <si>
    <t>Item</t>
  </si>
  <si>
    <t>AGENCIES &amp; CONTRACTORS</t>
  </si>
  <si>
    <t>Pixel Prism (creative agency)</t>
  </si>
  <si>
    <t>Brand, content, reels, photo/video</t>
  </si>
  <si>
    <t>Micro-influencer campaigns</t>
  </si>
  <si>
    <t>8-15 KSA food creators / quarter</t>
  </si>
  <si>
    <t>Paid social &amp; search media</t>
  </si>
  <si>
    <t>Meta + TikTok + Google</t>
  </si>
  <si>
    <t>PR / event / press</t>
  </si>
  <si>
    <t>Soft launches, embassy outreach</t>
  </si>
  <si>
    <t>Subtotal — agencies</t>
  </si>
  <si>
    <t>IN-HOUSE TEAM (FTEs)</t>
  </si>
  <si>
    <t>Community manager (1 FTE)</t>
  </si>
  <si>
    <t>10K/mo + benefits</t>
  </si>
  <si>
    <t>Content lead (1 FTE)</t>
  </si>
  <si>
    <t>E-catering account manager</t>
  </si>
  <si>
    <t>12K/mo + benefits</t>
  </si>
  <si>
    <t>Loyalty program coordinator (0.5 FTE Y2+)</t>
  </si>
  <si>
    <t>Hire when wallet base &gt; 1,000</t>
  </si>
  <si>
    <t>Subtotal — team</t>
  </si>
  <si>
    <t>TOTAL DR. KHAN CASH COMMITMENT (per year)</t>
  </si>
  <si>
    <t>5-Year Cumulative Khan cash commitment</t>
  </si>
  <si>
    <t>⚠ This budget MUST be ringfenced in the SPV charter. Underfunded marketing = tech under-performs. NTT cannot absorb marketing shortfall.</t>
  </si>
  <si>
    <t>SPV ECONOMICS — 5-YEAR P&amp;L ROLL-UP</t>
  </si>
  <si>
    <t>Consolidated view: revenue and contribution from all initiatives, less cash costs.</t>
  </si>
  <si>
    <t>REVENUE (incremental, attributable to SPV)</t>
  </si>
  <si>
    <t>Dynamic Menu uplift (incremental)</t>
  </si>
  <si>
    <t>E-Catering revenue</t>
  </si>
  <si>
    <t>Loyalty incremental revenue</t>
  </si>
  <si>
    <t>Loyalty wallet inflow (deferred)</t>
  </si>
  <si>
    <t>Franchise revenue (initial + royalty)</t>
  </si>
  <si>
    <t>TOTAL SPV REVENUE</t>
  </si>
  <si>
    <t>DIRECT COSTS (from initiative sheets)</t>
  </si>
  <si>
    <t>DM cost-of-uplift (food + marginal labour)</t>
  </si>
  <si>
    <t>E-Catering direct costs</t>
  </si>
  <si>
    <t>Loyalty discount cost</t>
  </si>
  <si>
    <t>Franchise ops costs</t>
  </si>
  <si>
    <t>Total direct costs</t>
  </si>
  <si>
    <t>GROSS CONTRIBUTION</t>
  </si>
  <si>
    <t>OPERATING EXPENSES</t>
  </si>
  <si>
    <t>Dr. Khan marketing + team commitment</t>
  </si>
  <si>
    <t>Tech maintenance (NTT/VVG in-kind)</t>
  </si>
  <si>
    <t>G&amp;A (legal, audit, admin, insurance)</t>
  </si>
  <si>
    <t>Total OpEx</t>
  </si>
  <si>
    <t>EBITDA (PRE-TAX, PRE-NTT-BUILD-AMORTISATION)</t>
  </si>
  <si>
    <t>EBITDA margin %</t>
  </si>
  <si>
    <t>NTT/VVG one-off build (in-kind, Year 1)</t>
  </si>
  <si>
    <t>Notional cash flow (incl. NTT build amortised)</t>
  </si>
  <si>
    <t>Cumulative EBITDA</t>
  </si>
  <si>
    <t>⚠ This is the SPV's standalone P&amp;L — does NOT include the existing Red Chili branch base revenue (which stays in Dr. Khan's existing CR untouched).</t>
  </si>
  <si>
    <t>EQUITY SCENARIOS A / B / C — VALUATION MATH</t>
  </si>
  <si>
    <t>Three structures with the math behind each. Numbers update from Sheet 6, 7, 8.</t>
  </si>
  <si>
    <t>Scenario A</t>
  </si>
  <si>
    <t>Scenario B (Recommended)</t>
  </si>
  <si>
    <t>Scenario C</t>
  </si>
  <si>
    <t>CONTRIBUTION VALUES (SAR, 5-YEAR CUMULATIVE)</t>
  </si>
  <si>
    <t>NTT/VVG cumulative contribution (in-kind)</t>
  </si>
  <si>
    <t>From Tech Build sheet</t>
  </si>
  <si>
    <t>NTT cash equivalent (market rate / 0.7)</t>
  </si>
  <si>
    <t>If NTT charged commercial rates</t>
  </si>
  <si>
    <t>Dr. Khan cumulative cash commitment</t>
  </si>
  <si>
    <t>From Marketing Cost sheet</t>
  </si>
  <si>
    <t>Dr. Khan brand IP value (estimate)</t>
  </si>
  <si>
    <t>WORKING ASSUMPTION — needs IP valuation</t>
  </si>
  <si>
    <t>Dr. Khan operational risk / sweat (5yr)</t>
  </si>
  <si>
    <t>Estimated 'sweat equity' — running ops</t>
  </si>
  <si>
    <t>Total Khan contribution value</t>
  </si>
  <si>
    <t>Total NTT contribution value (cash equiv)</t>
  </si>
  <si>
    <t>Total contribution pool</t>
  </si>
  <si>
    <t>IMPLIED FAIR-VALUE EQUITY (ratio of contribution)</t>
  </si>
  <si>
    <t>NTT implied % (pure contribution math)</t>
  </si>
  <si>
    <t>Math-only baseline</t>
  </si>
  <si>
    <t>Khan implied % (pure contribution math)</t>
  </si>
  <si>
    <t>PROPOSED EQUITY SPLIT</t>
  </si>
  <si>
    <t>NTT/VVG equity %</t>
  </si>
  <si>
    <t>Adjustable inputs — A=15-20%, B=30-35%, C=45-50%</t>
  </si>
  <si>
    <t>Dr. Khan equity %</t>
  </si>
  <si>
    <t>SPV VALUATION @ YEAR 5</t>
  </si>
  <si>
    <t>Year 5 EBITDA</t>
  </si>
  <si>
    <t>EBITDA multiple (KSA F&amp;B comps)</t>
  </si>
  <si>
    <t>4-7x typical range; lower if franchise concentration</t>
  </si>
  <si>
    <t>Implied SPV enterprise value</t>
  </si>
  <si>
    <t>STAKE VALUES @ YEAR 5</t>
  </si>
  <si>
    <t>NTT stake value</t>
  </si>
  <si>
    <t>Dr. Khan stake value</t>
  </si>
  <si>
    <t>RETURN ON CONTRIBUTION (NTT/VVG)</t>
  </si>
  <si>
    <t>NTT stake value @ Y5</t>
  </si>
  <si>
    <t>NTT cumulative contribution</t>
  </si>
  <si>
    <t>NTT 5-year MOIC (multiple of invested cap)</t>
  </si>
  <si>
    <t>RETURN ON CONTRIBUTION (DR. KHAN)</t>
  </si>
  <si>
    <t>Khan stake value @ Y5</t>
  </si>
  <si>
    <t>Khan cumulative cash commitment</t>
  </si>
  <si>
    <t>Khan 5-year cash MOIC</t>
  </si>
  <si>
    <t>⚠ Year 5 EBITDA depends on hitting all initiative gates. If Gate 1 fails, model collapses. Brand IP value of SAR 3M is a working assumption — actual valuation requires independent IP assessment.</t>
  </si>
  <si>
    <t>SENSITIVITY ANALYSIS — WHAT IF</t>
  </si>
  <si>
    <t>Year 5 EBITDA under different scenarios. Adjust inputs to see impact.</t>
  </si>
  <si>
    <t>Scenario</t>
  </si>
  <si>
    <t>Y5 Revenue</t>
  </si>
  <si>
    <t>Y5 EBITDA</t>
  </si>
  <si>
    <t>EBITDA %</t>
  </si>
  <si>
    <t>SPV Value @ 5x</t>
  </si>
  <si>
    <t>BASE CASE (current assumptions)</t>
  </si>
  <si>
    <t>From SPV Economics sheet</t>
  </si>
  <si>
    <t>DOWNSIDE SCENARIOS</t>
  </si>
  <si>
    <t>DM lift = 10% (vs 21%)</t>
  </si>
  <si>
    <t>Revenue lift halved</t>
  </si>
  <si>
    <t>E-catering ramp = 50% slower</t>
  </si>
  <si>
    <t>Year 5 only at 65% of mature</t>
  </si>
  <si>
    <t>Franchise: 10 units sold (vs 28)</t>
  </si>
  <si>
    <t>Slower franchise traction</t>
  </si>
  <si>
    <t>Marketing budget cut 30%</t>
  </si>
  <si>
    <t>Revenue impacted by under-marketing</t>
  </si>
  <si>
    <t>ALL of the above (worst case)</t>
  </si>
  <si>
    <t>Compound failure scenario</t>
  </si>
  <si>
    <t>UPSIDE SCENARIOS</t>
  </si>
  <si>
    <t>DM lift = 30% (vs 21%, premium uplift)</t>
  </si>
  <si>
    <t>Brand reposition succeeds</t>
  </si>
  <si>
    <t>E-catering hits mature in Y2 (not Y3)</t>
  </si>
  <si>
    <t>Strong warm pipeline conversion</t>
  </si>
  <si>
    <t>Franchise: 50 units by Y5</t>
  </si>
  <si>
    <t>Aggressive franchise rollout</t>
  </si>
  <si>
    <t>ALL of the above (best case)</t>
  </si>
  <si>
    <t>Everything works as planned</t>
  </si>
  <si>
    <t>DECISION IMPLICATIONS</t>
  </si>
  <si>
    <t>Worst-case SPV value &lt; SAR 5M — equity stake value depends ENTIRELY on hitting Gate 1 (Dynamic Menu pilot success).</t>
  </si>
  <si>
    <t>Even base case requires sustained Dr. Khan marketing commitment. Cut marketing → cut revenue → cut valuation by ~30%.</t>
  </si>
  <si>
    <t>Franchise upside is the largest swing factor. But franchise units &gt; 30 by Y5 requires Saudi flagship to be a clear success.</t>
  </si>
  <si>
    <t>Recommendation: don't price Scenario B equity (30-35%) as if upside is guaranteed. Price as if base case = realistic outcome.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</si>
</sst>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SAR &quot;#,##0;&quot;(SAR &quot;#,##0\);\-"/>
    <numFmt numFmtId="165" formatCode="#,##0;\(#,##0\);\-"/>
    <numFmt numFmtId="166" formatCode="0.0%;\(0.0%\);\-"/>
    <numFmt numFmtId="167" formatCode="0.0\x"/>
  </numFmts>
  <fonts count="20" x14ac:knownFonts="1">
    <font>
      <sz val="11"/>
      <color theme="1"/>
      <name val="Calibri"/>
      <family val="2"/>
      <charset val="1"/>
    </font>
    <font>
      <b/>
      <sz val="24"/>
      <color rgb="FF990011"/>
      <name val="Arial"/>
      <charset val="1"/>
    </font>
    <font>
      <i/>
      <sz val="14"/>
      <color rgb="FF6B6B6B"/>
      <name val="Arial"/>
      <charset val="1"/>
    </font>
    <font>
      <sz val="9"/>
      <color rgb="FFC9A961"/>
      <name val="Arial"/>
      <charset val="1"/>
    </font>
    <font>
      <sz val="10"/>
      <color rgb="FF000000"/>
      <name val="Arial"/>
      <charset val="1"/>
    </font>
    <font>
      <b/>
      <sz val="12"/>
      <color rgb="FF990011"/>
      <name val="Arial"/>
      <charset val="1"/>
    </font>
    <font>
      <b/>
      <sz val="11"/>
      <color rgb="FFFFFFFF"/>
      <name val="Arial"/>
      <charset val="1"/>
    </font>
    <font>
      <b/>
      <sz val="10"/>
      <color rgb="FF000000"/>
      <name val="Arial"/>
      <charset val="1"/>
    </font>
    <font>
      <i/>
      <sz val="10"/>
      <color rgb="FF000000"/>
      <name val="Arial"/>
      <charset val="1"/>
    </font>
    <font>
      <b/>
      <sz val="10"/>
      <color rgb="FF0000FF"/>
      <name val="Arial"/>
      <charset val="1"/>
    </font>
    <font>
      <b/>
      <sz val="10"/>
      <color rgb="FF008000"/>
      <name val="Arial"/>
      <charset val="1"/>
    </font>
    <font>
      <b/>
      <sz val="10"/>
      <color rgb="FF808000"/>
      <name val="Arial"/>
      <charset val="1"/>
    </font>
    <font>
      <b/>
      <sz val="18"/>
      <color rgb="FF990011"/>
      <name val="Arial"/>
      <charset val="1"/>
    </font>
    <font>
      <i/>
      <sz val="10"/>
      <color rgb="FF6B6B6B"/>
      <name val="Arial"/>
      <charset val="1"/>
    </font>
    <font>
      <b/>
      <sz val="10"/>
      <color rgb="FF990011"/>
      <name val="Arial"/>
      <charset val="1"/>
    </font>
    <font>
      <sz val="10"/>
      <color rgb="FF0000FF"/>
      <name val="Arial"/>
      <charset val="1"/>
    </font>
    <font>
      <sz val="10"/>
      <color rgb="FF008000"/>
      <name val="Arial"/>
      <charset val="1"/>
    </font>
    <font>
      <b/>
      <sz val="11"/>
      <color rgb="FFC9A961"/>
      <name val="Arial"/>
      <charset val="1"/>
    </font>
    <font>
      <b/>
      <sz val="11"/>
      <color rgb="FF990011"/>
      <name val="Arial"/>
      <charset val="1"/>
    </font>
    <font>
      <i/>
      <sz val="9"/>
      <color rgb="FF000000"/>
      <name val="Arial"/>
      <charset val="1"/>
    </font>
  </fonts>
  <fills count="7">
    <fill>
      <patternFill patternType="none"/>
    </fill>
    <fill>
      <patternFill patternType="gray125"/>
    </fill>
    <fill>
      <patternFill patternType="solid">
        <fgColor rgb="FF990011"/>
        <bgColor rgb="FF800000"/>
      </patternFill>
    </fill>
    <fill>
      <patternFill patternType="solid">
        <fgColor rgb="FFFFFF00"/>
        <bgColor rgb="FFFFFF00"/>
      </patternFill>
    </fill>
    <fill>
      <patternFill patternType="solid">
        <fgColor rgb="FFFFF8E1"/>
        <bgColor rgb="FFFCF6F5"/>
      </patternFill>
    </fill>
    <fill>
      <patternFill patternType="solid">
        <fgColor rgb="FFFCF6F5"/>
        <bgColor rgb="FFFFF8E1"/>
      </patternFill>
    </fill>
    <fill>
      <patternFill patternType="solid">
        <fgColor rgb="FF1A1A1A"/>
        <bgColor rgb="FF333300"/>
      </patternFill>
    </fill>
  </fills>
  <borders count="2">
    <border>
      <left/>
      <right/>
      <top/>
      <bottom/>
      <diagonal/>
    </border>
    <border>
      <left style="thin">
        <color rgb="FFC4C4C4"/>
      </left>
      <right style="thin">
        <color rgb="FFC4C4C4"/>
      </right>
      <top style="thin">
        <color rgb="FFC4C4C4"/>
      </top>
      <bottom style="thin">
        <color rgb="FFC4C4C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9" fillId="4" borderId="1" xfId="0" applyFont="1" applyFill="1" applyBorder="1" applyAlignment="1">
      <alignment horizontal="left" vertical="center" wrapText="1"/>
    </xf>
    <xf numFmtId="0" fontId="19" fillId="4" borderId="0" xfId="0" applyFont="1" applyFill="1" applyBorder="1"/>
    <xf numFmtId="0" fontId="14" fillId="5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top" wrapText="1"/>
    </xf>
    <xf numFmtId="0" fontId="5" fillId="0" borderId="0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0" xfId="0" applyFont="1"/>
    <xf numFmtId="0" fontId="9" fillId="0" borderId="0" xfId="0" applyFont="1"/>
    <xf numFmtId="0" fontId="7" fillId="0" borderId="0" xfId="0" applyFont="1"/>
    <xf numFmtId="0" fontId="10" fillId="0" borderId="0" xfId="0" applyFont="1"/>
    <xf numFmtId="0" fontId="11" fillId="3" borderId="0" xfId="0" applyFont="1" applyFill="1"/>
    <xf numFmtId="0" fontId="12" fillId="0" borderId="0" xfId="0" applyFont="1"/>
    <xf numFmtId="0" fontId="13" fillId="0" borderId="0" xfId="0" applyFont="1"/>
    <xf numFmtId="164" fontId="7" fillId="3" borderId="1" xfId="0" applyNumberFormat="1" applyFont="1" applyFill="1" applyBorder="1" applyAlignment="1">
      <alignment horizontal="left" vertical="center" wrapText="1"/>
    </xf>
    <xf numFmtId="165" fontId="7" fillId="3" borderId="1" xfId="0" applyNumberFormat="1" applyFont="1" applyFill="1" applyBorder="1" applyAlignment="1">
      <alignment horizontal="left" vertical="center" wrapText="1"/>
    </xf>
    <xf numFmtId="166" fontId="7" fillId="3" borderId="1" xfId="0" applyNumberFormat="1" applyFont="1" applyFill="1" applyBorder="1" applyAlignment="1">
      <alignment horizontal="left" vertical="center" wrapText="1"/>
    </xf>
    <xf numFmtId="166" fontId="15" fillId="0" borderId="1" xfId="0" applyNumberFormat="1" applyFont="1" applyBorder="1" applyAlignment="1">
      <alignment horizontal="right"/>
    </xf>
    <xf numFmtId="165" fontId="15" fillId="0" borderId="1" xfId="0" applyNumberFormat="1" applyFont="1" applyBorder="1" applyAlignment="1">
      <alignment horizontal="right"/>
    </xf>
    <xf numFmtId="164" fontId="15" fillId="0" borderId="1" xfId="0" applyNumberFormat="1" applyFont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164" fontId="16" fillId="0" borderId="1" xfId="0" applyNumberFormat="1" applyFont="1" applyBorder="1" applyAlignment="1">
      <alignment horizontal="right"/>
    </xf>
    <xf numFmtId="165" fontId="16" fillId="0" borderId="1" xfId="0" applyNumberFormat="1" applyFont="1" applyBorder="1" applyAlignment="1">
      <alignment horizontal="right"/>
    </xf>
    <xf numFmtId="0" fontId="17" fillId="6" borderId="1" xfId="0" applyFont="1" applyFill="1" applyBorder="1" applyAlignment="1">
      <alignment horizontal="left" vertical="center"/>
    </xf>
    <xf numFmtId="164" fontId="17" fillId="6" borderId="1" xfId="0" applyNumberFormat="1" applyFont="1" applyFill="1" applyBorder="1" applyAlignment="1">
      <alignment horizontal="right"/>
    </xf>
    <xf numFmtId="166" fontId="16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18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6" fontId="4" fillId="0" borderId="1" xfId="0" applyNumberFormat="1" applyFont="1" applyBorder="1" applyAlignment="1">
      <alignment horizontal="right"/>
    </xf>
    <xf numFmtId="165" fontId="17" fillId="6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right"/>
    </xf>
    <xf numFmtId="164" fontId="7" fillId="3" borderId="1" xfId="0" applyNumberFormat="1" applyFont="1" applyFill="1" applyBorder="1" applyAlignment="1">
      <alignment horizontal="right"/>
    </xf>
    <xf numFmtId="167" fontId="15" fillId="0" borderId="1" xfId="0" applyNumberFormat="1" applyFont="1" applyBorder="1" applyAlignment="1">
      <alignment horizontal="right"/>
    </xf>
    <xf numFmtId="167" fontId="4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90011"/>
      <rgbColor rgb="FF008000"/>
      <rgbColor rgb="FF000080"/>
      <rgbColor rgb="FF808000"/>
      <rgbColor rgb="FF800080"/>
      <rgbColor rgb="FF008080"/>
      <rgbColor rgb="FFC4C4C4"/>
      <rgbColor rgb="FF808080"/>
      <rgbColor rgb="FF9999FF"/>
      <rgbColor rgb="FF993366"/>
      <rgbColor rgb="FFFFF8E1"/>
      <rgbColor rgb="FFFCF6F5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6B6B"/>
      <rgbColor rgb="FFC9A961"/>
      <rgbColor rgb="FF003366"/>
      <rgbColor rgb="FF339966"/>
      <rgbColor rgb="FF003300"/>
      <rgbColor rgb="FF333300"/>
      <rgbColor rgb="FF993300"/>
      <rgbColor rgb="FF993366"/>
      <rgbColor rgb="FF333399"/>
      <rgbColor rgb="FF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38"/>
  <sheetViews>
    <sheetView zoomScaleNormal="100" workbookViewId="0"/>
  </sheetViews>
  <sheetFormatPr defaultColWidth="8.6640625" defaultRowHeight="14.4" x14ac:dyDescent="0.3"/>
  <cols>
    <col min="1" max="1" width="4" customWidth="1"/>
    <col min="2" max="2" width="30" customWidth="1"/>
    <col min="3" max="3" width="60" customWidth="1"/>
    <col min="4" max="4" width="20" customWidth="1"/>
  </cols>
  <sheetData>
    <row r="2" spans="2:4" ht="30" x14ac:dyDescent="0.5">
      <c r="B2" s="6" t="s">
        <v>0</v>
      </c>
    </row>
    <row r="3" spans="2:4" ht="18" x14ac:dyDescent="0.35">
      <c r="B3" s="7" t="s">
        <v>1</v>
      </c>
    </row>
    <row r="4" spans="2:4" x14ac:dyDescent="0.3">
      <c r="B4" s="8" t="s">
        <v>2</v>
      </c>
    </row>
    <row r="6" spans="2:4" x14ac:dyDescent="0.3">
      <c r="B6" s="9" t="s">
        <v>3</v>
      </c>
    </row>
    <row r="8" spans="2:4" ht="15.6" x14ac:dyDescent="0.3">
      <c r="B8" s="5" t="s">
        <v>4</v>
      </c>
      <c r="C8" s="5"/>
      <c r="D8" s="5"/>
    </row>
    <row r="10" spans="2:4" x14ac:dyDescent="0.3">
      <c r="B10" s="10" t="s">
        <v>5</v>
      </c>
      <c r="C10" s="10" t="s">
        <v>6</v>
      </c>
      <c r="D10" s="10" t="s">
        <v>7</v>
      </c>
    </row>
    <row r="11" spans="2:4" x14ac:dyDescent="0.3">
      <c r="B11" s="11" t="s">
        <v>8</v>
      </c>
      <c r="C11" s="12" t="s">
        <v>9</v>
      </c>
      <c r="D11" s="13" t="s">
        <v>10</v>
      </c>
    </row>
    <row r="12" spans="2:4" x14ac:dyDescent="0.3">
      <c r="B12" s="11" t="s">
        <v>11</v>
      </c>
      <c r="C12" s="12" t="s">
        <v>12</v>
      </c>
      <c r="D12" s="13" t="s">
        <v>13</v>
      </c>
    </row>
    <row r="13" spans="2:4" x14ac:dyDescent="0.3">
      <c r="B13" s="11" t="s">
        <v>14</v>
      </c>
      <c r="C13" s="12" t="s">
        <v>15</v>
      </c>
      <c r="D13" s="13" t="s">
        <v>13</v>
      </c>
    </row>
    <row r="14" spans="2:4" x14ac:dyDescent="0.3">
      <c r="B14" s="11" t="s">
        <v>16</v>
      </c>
      <c r="C14" s="12" t="s">
        <v>17</v>
      </c>
      <c r="D14" s="13" t="s">
        <v>13</v>
      </c>
    </row>
    <row r="15" spans="2:4" x14ac:dyDescent="0.3">
      <c r="B15" s="11" t="s">
        <v>18</v>
      </c>
      <c r="C15" s="12" t="s">
        <v>19</v>
      </c>
      <c r="D15" s="13" t="s">
        <v>13</v>
      </c>
    </row>
    <row r="16" spans="2:4" x14ac:dyDescent="0.3">
      <c r="B16" s="11" t="s">
        <v>20</v>
      </c>
      <c r="C16" s="12" t="s">
        <v>21</v>
      </c>
      <c r="D16" s="13" t="s">
        <v>22</v>
      </c>
    </row>
    <row r="17" spans="2:4" x14ac:dyDescent="0.3">
      <c r="B17" s="11" t="s">
        <v>23</v>
      </c>
      <c r="C17" s="12" t="s">
        <v>24</v>
      </c>
      <c r="D17" s="13" t="s">
        <v>22</v>
      </c>
    </row>
    <row r="18" spans="2:4" x14ac:dyDescent="0.3">
      <c r="B18" s="11" t="s">
        <v>25</v>
      </c>
      <c r="C18" s="12" t="s">
        <v>26</v>
      </c>
      <c r="D18" s="13" t="s">
        <v>27</v>
      </c>
    </row>
    <row r="19" spans="2:4" x14ac:dyDescent="0.3">
      <c r="B19" s="11" t="s">
        <v>28</v>
      </c>
      <c r="C19" s="12" t="s">
        <v>29</v>
      </c>
      <c r="D19" s="13" t="s">
        <v>30</v>
      </c>
    </row>
    <row r="20" spans="2:4" x14ac:dyDescent="0.3">
      <c r="B20" s="11" t="s">
        <v>31</v>
      </c>
      <c r="C20" s="12" t="s">
        <v>32</v>
      </c>
      <c r="D20" s="13" t="s">
        <v>30</v>
      </c>
    </row>
    <row r="23" spans="2:4" ht="15.6" x14ac:dyDescent="0.3">
      <c r="B23" s="14" t="s">
        <v>33</v>
      </c>
    </row>
    <row r="25" spans="2:4" x14ac:dyDescent="0.3">
      <c r="B25" s="15" t="s">
        <v>34</v>
      </c>
      <c r="C25" s="12" t="s">
        <v>35</v>
      </c>
    </row>
    <row r="26" spans="2:4" x14ac:dyDescent="0.3">
      <c r="B26" s="16" t="s">
        <v>36</v>
      </c>
      <c r="C26" s="12" t="s">
        <v>37</v>
      </c>
    </row>
    <row r="27" spans="2:4" x14ac:dyDescent="0.3">
      <c r="B27" s="17" t="s">
        <v>38</v>
      </c>
      <c r="C27" s="12" t="s">
        <v>39</v>
      </c>
    </row>
    <row r="28" spans="2:4" x14ac:dyDescent="0.3">
      <c r="B28" s="18" t="s">
        <v>40</v>
      </c>
      <c r="C28" s="12" t="s">
        <v>41</v>
      </c>
    </row>
    <row r="31" spans="2:4" ht="15.6" x14ac:dyDescent="0.3">
      <c r="B31" s="14" t="s">
        <v>42</v>
      </c>
    </row>
    <row r="33" spans="2:4" ht="30" customHeight="1" x14ac:dyDescent="0.3">
      <c r="B33" s="4" t="s">
        <v>43</v>
      </c>
      <c r="C33" s="4"/>
      <c r="D33" s="4"/>
    </row>
    <row r="34" spans="2:4" ht="30" customHeight="1" x14ac:dyDescent="0.3">
      <c r="B34" s="4" t="s">
        <v>44</v>
      </c>
      <c r="C34" s="4"/>
      <c r="D34" s="4"/>
    </row>
    <row r="35" spans="2:4" ht="30" customHeight="1" x14ac:dyDescent="0.3">
      <c r="B35" s="4" t="s">
        <v>45</v>
      </c>
      <c r="C35" s="4"/>
      <c r="D35" s="4"/>
    </row>
    <row r="36" spans="2:4" ht="30" customHeight="1" x14ac:dyDescent="0.3">
      <c r="B36" s="4" t="s">
        <v>46</v>
      </c>
      <c r="C36" s="4"/>
      <c r="D36" s="4"/>
    </row>
    <row r="37" spans="2:4" ht="30" customHeight="1" x14ac:dyDescent="0.3">
      <c r="B37" s="4" t="s">
        <v>47</v>
      </c>
      <c r="C37" s="4"/>
      <c r="D37" s="4"/>
    </row>
    <row r="38" spans="2:4" ht="30" customHeight="1" x14ac:dyDescent="0.3">
      <c r="B38" s="4" t="s">
        <v>48</v>
      </c>
      <c r="C38" s="4"/>
      <c r="D38" s="4"/>
    </row>
  </sheetData>
  <mergeCells count="7">
    <mergeCell ref="B37:D37"/>
    <mergeCell ref="B38:D38"/>
    <mergeCell ref="B8:D8"/>
    <mergeCell ref="B33:D33"/>
    <mergeCell ref="B34:D34"/>
    <mergeCell ref="B35:D35"/>
    <mergeCell ref="B36:D36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67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45" customWidth="1"/>
    <col min="3" max="3" width="18" customWidth="1"/>
    <col min="4" max="4" width="14" customWidth="1"/>
    <col min="5" max="5" width="50" customWidth="1"/>
  </cols>
  <sheetData>
    <row r="2" spans="2:5" ht="22.8" x14ac:dyDescent="0.4">
      <c r="B2" s="19" t="s">
        <v>49</v>
      </c>
    </row>
    <row r="3" spans="2:5" x14ac:dyDescent="0.3">
      <c r="B3" s="20" t="s">
        <v>50</v>
      </c>
    </row>
    <row r="5" spans="2:5" x14ac:dyDescent="0.3">
      <c r="B5" s="10" t="s">
        <v>51</v>
      </c>
      <c r="C5" s="10" t="s">
        <v>52</v>
      </c>
      <c r="D5" s="10" t="s">
        <v>53</v>
      </c>
      <c r="E5" s="10" t="s">
        <v>54</v>
      </c>
    </row>
    <row r="7" spans="2:5" x14ac:dyDescent="0.3">
      <c r="B7" s="3" t="s">
        <v>55</v>
      </c>
      <c r="C7" s="3"/>
      <c r="D7" s="3"/>
      <c r="E7" s="3"/>
    </row>
    <row r="8" spans="2:5" x14ac:dyDescent="0.3">
      <c r="B8" s="12" t="s">
        <v>56</v>
      </c>
      <c r="C8" s="21">
        <v>4500000</v>
      </c>
      <c r="D8" s="13" t="s">
        <v>57</v>
      </c>
      <c r="E8" s="13" t="s">
        <v>58</v>
      </c>
    </row>
    <row r="9" spans="2:5" x14ac:dyDescent="0.3">
      <c r="B9" s="12" t="s">
        <v>59</v>
      </c>
      <c r="C9" s="22">
        <v>3</v>
      </c>
      <c r="D9" s="13" t="s">
        <v>60</v>
      </c>
      <c r="E9" s="13" t="s">
        <v>61</v>
      </c>
    </row>
    <row r="10" spans="2:5" x14ac:dyDescent="0.3">
      <c r="B10" s="12" t="s">
        <v>62</v>
      </c>
      <c r="C10" s="21">
        <v>145</v>
      </c>
      <c r="D10" s="13" t="s">
        <v>63</v>
      </c>
      <c r="E10" s="13" t="s">
        <v>64</v>
      </c>
    </row>
    <row r="11" spans="2:5" x14ac:dyDescent="0.3">
      <c r="B11" s="12" t="s">
        <v>65</v>
      </c>
      <c r="C11" s="22">
        <v>85</v>
      </c>
      <c r="D11" s="13" t="s">
        <v>66</v>
      </c>
      <c r="E11" s="13" t="s">
        <v>67</v>
      </c>
    </row>
    <row r="12" spans="2:5" x14ac:dyDescent="0.3">
      <c r="B12" s="12" t="s">
        <v>68</v>
      </c>
      <c r="C12" s="23">
        <v>0.12</v>
      </c>
      <c r="D12" s="13" t="s">
        <v>69</v>
      </c>
      <c r="E12" s="13" t="s">
        <v>70</v>
      </c>
    </row>
    <row r="13" spans="2:5" x14ac:dyDescent="0.3">
      <c r="B13" s="12" t="s">
        <v>71</v>
      </c>
      <c r="C13" s="23">
        <v>0.32</v>
      </c>
      <c r="D13" s="13" t="s">
        <v>69</v>
      </c>
      <c r="E13" s="13" t="s">
        <v>72</v>
      </c>
    </row>
    <row r="14" spans="2:5" x14ac:dyDescent="0.3">
      <c r="B14" s="12" t="s">
        <v>73</v>
      </c>
      <c r="C14" s="23">
        <v>0.25</v>
      </c>
      <c r="D14" s="13" t="s">
        <v>69</v>
      </c>
      <c r="E14" s="13" t="s">
        <v>74</v>
      </c>
    </row>
    <row r="15" spans="2:5" x14ac:dyDescent="0.3">
      <c r="B15" s="12" t="s">
        <v>75</v>
      </c>
      <c r="C15" s="23">
        <v>0.15</v>
      </c>
      <c r="D15" s="13" t="s">
        <v>69</v>
      </c>
      <c r="E15" s="13" t="s">
        <v>76</v>
      </c>
    </row>
    <row r="17" spans="2:5" x14ac:dyDescent="0.3">
      <c r="B17" s="3" t="s">
        <v>77</v>
      </c>
      <c r="C17" s="3"/>
      <c r="D17" s="3"/>
      <c r="E17" s="3"/>
    </row>
    <row r="18" spans="2:5" x14ac:dyDescent="0.3">
      <c r="B18" s="12" t="s">
        <v>78</v>
      </c>
      <c r="C18" s="24">
        <v>9.5000000000000001E-2</v>
      </c>
      <c r="D18" s="13" t="s">
        <v>69</v>
      </c>
      <c r="E18" s="13" t="s">
        <v>79</v>
      </c>
    </row>
    <row r="19" spans="2:5" ht="26.4" x14ac:dyDescent="0.3">
      <c r="B19" s="12" t="s">
        <v>80</v>
      </c>
      <c r="C19" s="24">
        <v>7.0000000000000007E-2</v>
      </c>
      <c r="D19" s="13" t="s">
        <v>69</v>
      </c>
      <c r="E19" s="13" t="s">
        <v>81</v>
      </c>
    </row>
    <row r="20" spans="2:5" x14ac:dyDescent="0.3">
      <c r="B20" s="12" t="s">
        <v>82</v>
      </c>
      <c r="C20" s="24">
        <v>4.4999999999999998E-2</v>
      </c>
      <c r="D20" s="13" t="s">
        <v>69</v>
      </c>
      <c r="E20" s="13" t="s">
        <v>83</v>
      </c>
    </row>
    <row r="21" spans="2:5" x14ac:dyDescent="0.3">
      <c r="B21" s="12" t="s">
        <v>84</v>
      </c>
      <c r="C21" s="24">
        <v>0.21</v>
      </c>
      <c r="D21" s="13" t="s">
        <v>69</v>
      </c>
      <c r="E21" s="13" t="s">
        <v>85</v>
      </c>
    </row>
    <row r="22" spans="2:5" x14ac:dyDescent="0.3">
      <c r="B22" s="12" t="s">
        <v>86</v>
      </c>
      <c r="C22" s="24">
        <v>0.18</v>
      </c>
      <c r="D22" s="13" t="s">
        <v>69</v>
      </c>
      <c r="E22" s="13" t="s">
        <v>87</v>
      </c>
    </row>
    <row r="23" spans="2:5" x14ac:dyDescent="0.3">
      <c r="B23" s="12" t="s">
        <v>88</v>
      </c>
      <c r="C23" s="24">
        <v>0.15</v>
      </c>
      <c r="D23" s="13" t="s">
        <v>69</v>
      </c>
      <c r="E23" s="13" t="s">
        <v>89</v>
      </c>
    </row>
    <row r="24" spans="2:5" x14ac:dyDescent="0.3">
      <c r="B24" s="12" t="s">
        <v>90</v>
      </c>
      <c r="C24" s="25">
        <v>90</v>
      </c>
      <c r="D24" s="13" t="s">
        <v>91</v>
      </c>
      <c r="E24" s="13" t="s">
        <v>92</v>
      </c>
    </row>
    <row r="25" spans="2:5" x14ac:dyDescent="0.3">
      <c r="B25" s="12" t="s">
        <v>93</v>
      </c>
      <c r="C25" s="26">
        <v>80000</v>
      </c>
      <c r="D25" s="13" t="s">
        <v>63</v>
      </c>
      <c r="E25" s="13" t="s">
        <v>94</v>
      </c>
    </row>
    <row r="27" spans="2:5" x14ac:dyDescent="0.3">
      <c r="B27" s="3" t="s">
        <v>95</v>
      </c>
      <c r="C27" s="3"/>
      <c r="D27" s="3"/>
      <c r="E27" s="3"/>
    </row>
    <row r="28" spans="2:5" x14ac:dyDescent="0.3">
      <c r="B28" s="12" t="s">
        <v>96</v>
      </c>
      <c r="C28" s="26">
        <v>4500</v>
      </c>
      <c r="D28" s="13" t="s">
        <v>63</v>
      </c>
      <c r="E28" s="13" t="s">
        <v>97</v>
      </c>
    </row>
    <row r="29" spans="2:5" x14ac:dyDescent="0.3">
      <c r="B29" s="12" t="s">
        <v>98</v>
      </c>
      <c r="C29" s="26">
        <v>12000</v>
      </c>
      <c r="D29" s="13" t="s">
        <v>63</v>
      </c>
      <c r="E29" s="13" t="s">
        <v>99</v>
      </c>
    </row>
    <row r="30" spans="2:5" x14ac:dyDescent="0.3">
      <c r="B30" s="12" t="s">
        <v>100</v>
      </c>
      <c r="C30" s="26">
        <v>38000</v>
      </c>
      <c r="D30" s="13" t="s">
        <v>63</v>
      </c>
      <c r="E30" s="13" t="s">
        <v>101</v>
      </c>
    </row>
    <row r="31" spans="2:5" x14ac:dyDescent="0.3">
      <c r="B31" s="12" t="s">
        <v>102</v>
      </c>
      <c r="C31" s="26">
        <v>120000</v>
      </c>
      <c r="D31" s="13" t="s">
        <v>63</v>
      </c>
      <c r="E31" s="13" t="s">
        <v>103</v>
      </c>
    </row>
    <row r="32" spans="2:5" x14ac:dyDescent="0.3">
      <c r="B32" s="12" t="s">
        <v>104</v>
      </c>
      <c r="C32" s="25">
        <v>12</v>
      </c>
      <c r="D32" s="13" t="s">
        <v>105</v>
      </c>
      <c r="E32" s="13" t="s">
        <v>106</v>
      </c>
    </row>
    <row r="33" spans="2:5" x14ac:dyDescent="0.3">
      <c r="B33" s="12" t="s">
        <v>107</v>
      </c>
      <c r="C33" s="25">
        <v>8</v>
      </c>
      <c r="D33" s="13" t="s">
        <v>105</v>
      </c>
      <c r="E33" s="13" t="s">
        <v>106</v>
      </c>
    </row>
    <row r="34" spans="2:5" x14ac:dyDescent="0.3">
      <c r="B34" s="12" t="s">
        <v>108</v>
      </c>
      <c r="C34" s="25">
        <v>4</v>
      </c>
      <c r="D34" s="13" t="s">
        <v>105</v>
      </c>
      <c r="E34" s="13" t="s">
        <v>106</v>
      </c>
    </row>
    <row r="35" spans="2:5" x14ac:dyDescent="0.3">
      <c r="B35" s="12" t="s">
        <v>109</v>
      </c>
      <c r="C35" s="25">
        <v>1</v>
      </c>
      <c r="D35" s="13" t="s">
        <v>105</v>
      </c>
      <c r="E35" s="13" t="s">
        <v>106</v>
      </c>
    </row>
    <row r="36" spans="2:5" x14ac:dyDescent="0.3">
      <c r="B36" s="12" t="s">
        <v>110</v>
      </c>
      <c r="C36" s="25">
        <v>15</v>
      </c>
      <c r="D36" s="13" t="s">
        <v>111</v>
      </c>
      <c r="E36" s="13" t="s">
        <v>112</v>
      </c>
    </row>
    <row r="37" spans="2:5" x14ac:dyDescent="0.3">
      <c r="B37" s="12" t="s">
        <v>113</v>
      </c>
      <c r="C37" s="24">
        <v>0.32</v>
      </c>
      <c r="D37" s="13" t="s">
        <v>69</v>
      </c>
      <c r="E37" s="13" t="s">
        <v>114</v>
      </c>
    </row>
    <row r="38" spans="2:5" x14ac:dyDescent="0.3">
      <c r="B38" s="12" t="s">
        <v>115</v>
      </c>
      <c r="C38" s="24">
        <v>0.18</v>
      </c>
      <c r="D38" s="13" t="s">
        <v>69</v>
      </c>
      <c r="E38" s="13" t="s">
        <v>116</v>
      </c>
    </row>
    <row r="39" spans="2:5" x14ac:dyDescent="0.3">
      <c r="B39" s="12" t="s">
        <v>117</v>
      </c>
      <c r="C39" s="24">
        <v>0.45</v>
      </c>
      <c r="D39" s="13" t="s">
        <v>69</v>
      </c>
      <c r="E39" s="13" t="s">
        <v>118</v>
      </c>
    </row>
    <row r="40" spans="2:5" x14ac:dyDescent="0.3">
      <c r="B40" s="12" t="s">
        <v>119</v>
      </c>
      <c r="C40" s="24">
        <v>0.3</v>
      </c>
      <c r="D40" s="13" t="s">
        <v>69</v>
      </c>
      <c r="E40" s="13" t="s">
        <v>120</v>
      </c>
    </row>
    <row r="42" spans="2:5" x14ac:dyDescent="0.3">
      <c r="B42" s="3" t="s">
        <v>121</v>
      </c>
      <c r="C42" s="3"/>
      <c r="D42" s="3"/>
      <c r="E42" s="3"/>
    </row>
    <row r="43" spans="2:5" x14ac:dyDescent="0.3">
      <c r="B43" s="12" t="s">
        <v>122</v>
      </c>
      <c r="C43" s="26">
        <v>25</v>
      </c>
      <c r="D43" s="13" t="s">
        <v>63</v>
      </c>
      <c r="E43" s="13" t="s">
        <v>123</v>
      </c>
    </row>
    <row r="44" spans="2:5" x14ac:dyDescent="0.3">
      <c r="B44" s="12" t="s">
        <v>124</v>
      </c>
      <c r="C44" s="26">
        <v>75</v>
      </c>
      <c r="D44" s="13" t="s">
        <v>63</v>
      </c>
      <c r="E44" s="13" t="s">
        <v>125</v>
      </c>
    </row>
    <row r="45" spans="2:5" x14ac:dyDescent="0.3">
      <c r="B45" s="12" t="s">
        <v>126</v>
      </c>
      <c r="C45" s="26">
        <v>250</v>
      </c>
      <c r="D45" s="13" t="s">
        <v>63</v>
      </c>
      <c r="E45" s="13" t="s">
        <v>127</v>
      </c>
    </row>
    <row r="46" spans="2:5" x14ac:dyDescent="0.3">
      <c r="B46" s="12" t="s">
        <v>128</v>
      </c>
      <c r="C46" s="24">
        <v>0.18</v>
      </c>
      <c r="D46" s="13" t="s">
        <v>69</v>
      </c>
      <c r="E46" s="13" t="s">
        <v>129</v>
      </c>
    </row>
    <row r="47" spans="2:5" x14ac:dyDescent="0.3">
      <c r="B47" s="12" t="s">
        <v>130</v>
      </c>
      <c r="C47" s="24">
        <v>0.1</v>
      </c>
      <c r="D47" s="13" t="s">
        <v>69</v>
      </c>
      <c r="E47" s="13" t="s">
        <v>131</v>
      </c>
    </row>
    <row r="48" spans="2:5" x14ac:dyDescent="0.3">
      <c r="B48" s="12" t="s">
        <v>132</v>
      </c>
      <c r="C48" s="24">
        <v>0.08</v>
      </c>
      <c r="D48" s="13" t="s">
        <v>69</v>
      </c>
      <c r="E48" s="13" t="s">
        <v>133</v>
      </c>
    </row>
    <row r="49" spans="2:5" x14ac:dyDescent="0.3">
      <c r="B49" s="12" t="s">
        <v>134</v>
      </c>
      <c r="C49" s="24">
        <v>0.2</v>
      </c>
      <c r="D49" s="13" t="s">
        <v>69</v>
      </c>
      <c r="E49" s="13" t="s">
        <v>135</v>
      </c>
    </row>
    <row r="50" spans="2:5" x14ac:dyDescent="0.3">
      <c r="B50" s="12" t="s">
        <v>136</v>
      </c>
      <c r="C50" s="24">
        <v>0.35</v>
      </c>
      <c r="D50" s="13" t="s">
        <v>69</v>
      </c>
      <c r="E50" s="13" t="s">
        <v>135</v>
      </c>
    </row>
    <row r="51" spans="2:5" x14ac:dyDescent="0.3">
      <c r="B51" s="12" t="s">
        <v>137</v>
      </c>
      <c r="C51" s="24">
        <v>0.55000000000000004</v>
      </c>
      <c r="D51" s="13" t="s">
        <v>69</v>
      </c>
      <c r="E51" s="13" t="s">
        <v>135</v>
      </c>
    </row>
    <row r="52" spans="2:5" x14ac:dyDescent="0.3">
      <c r="B52" s="12" t="s">
        <v>138</v>
      </c>
      <c r="C52" s="26">
        <v>350</v>
      </c>
      <c r="D52" s="13" t="s">
        <v>63</v>
      </c>
      <c r="E52" s="13" t="s">
        <v>139</v>
      </c>
    </row>
    <row r="54" spans="2:5" x14ac:dyDescent="0.3">
      <c r="B54" s="3" t="s">
        <v>140</v>
      </c>
      <c r="C54" s="3"/>
      <c r="D54" s="3"/>
      <c r="E54" s="3"/>
    </row>
    <row r="55" spans="2:5" x14ac:dyDescent="0.3">
      <c r="B55" s="12" t="s">
        <v>141</v>
      </c>
      <c r="C55" s="26">
        <v>250000</v>
      </c>
      <c r="D55" s="13" t="s">
        <v>63</v>
      </c>
      <c r="E55" s="13" t="s">
        <v>142</v>
      </c>
    </row>
    <row r="56" spans="2:5" x14ac:dyDescent="0.3">
      <c r="B56" s="12" t="s">
        <v>143</v>
      </c>
      <c r="C56" s="26">
        <v>100000</v>
      </c>
      <c r="D56" s="13" t="s">
        <v>63</v>
      </c>
      <c r="E56" s="13" t="s">
        <v>144</v>
      </c>
    </row>
    <row r="57" spans="2:5" x14ac:dyDescent="0.3">
      <c r="B57" s="12" t="s">
        <v>145</v>
      </c>
      <c r="C57" s="26">
        <v>50000</v>
      </c>
      <c r="D57" s="13" t="s">
        <v>63</v>
      </c>
      <c r="E57" s="13" t="s">
        <v>146</v>
      </c>
    </row>
    <row r="58" spans="2:5" x14ac:dyDescent="0.3">
      <c r="B58" s="12" t="s">
        <v>147</v>
      </c>
      <c r="C58" s="26">
        <v>25000</v>
      </c>
      <c r="D58" s="13" t="s">
        <v>63</v>
      </c>
      <c r="E58" s="13" t="s">
        <v>146</v>
      </c>
    </row>
    <row r="59" spans="2:5" x14ac:dyDescent="0.3">
      <c r="B59" s="12" t="s">
        <v>148</v>
      </c>
      <c r="C59" s="24">
        <v>0.05</v>
      </c>
      <c r="D59" s="13" t="s">
        <v>69</v>
      </c>
      <c r="E59" s="13" t="s">
        <v>149</v>
      </c>
    </row>
    <row r="60" spans="2:5" x14ac:dyDescent="0.3">
      <c r="B60" s="12" t="s">
        <v>150</v>
      </c>
      <c r="C60" s="24">
        <v>0.06</v>
      </c>
      <c r="D60" s="13" t="s">
        <v>69</v>
      </c>
      <c r="E60" s="13" t="s">
        <v>151</v>
      </c>
    </row>
    <row r="61" spans="2:5" x14ac:dyDescent="0.3">
      <c r="B61" s="12" t="s">
        <v>152</v>
      </c>
      <c r="C61" s="24">
        <v>7.0000000000000007E-2</v>
      </c>
      <c r="D61" s="13" t="s">
        <v>69</v>
      </c>
      <c r="E61" s="13" t="s">
        <v>153</v>
      </c>
    </row>
    <row r="62" spans="2:5" x14ac:dyDescent="0.3">
      <c r="B62" s="12" t="s">
        <v>154</v>
      </c>
      <c r="C62" s="24">
        <v>0.08</v>
      </c>
      <c r="D62" s="13" t="s">
        <v>69</v>
      </c>
      <c r="E62" s="13" t="s">
        <v>155</v>
      </c>
    </row>
    <row r="63" spans="2:5" x14ac:dyDescent="0.3">
      <c r="B63" s="12" t="s">
        <v>156</v>
      </c>
      <c r="C63" s="24">
        <v>0.01</v>
      </c>
      <c r="D63" s="13" t="s">
        <v>69</v>
      </c>
      <c r="E63" s="13" t="s">
        <v>157</v>
      </c>
    </row>
    <row r="64" spans="2:5" x14ac:dyDescent="0.3">
      <c r="B64" s="12" t="s">
        <v>158</v>
      </c>
      <c r="C64" s="26">
        <v>4500000</v>
      </c>
      <c r="D64" s="13" t="s">
        <v>63</v>
      </c>
      <c r="E64" s="13" t="s">
        <v>159</v>
      </c>
    </row>
    <row r="65" spans="2:5" x14ac:dyDescent="0.3">
      <c r="B65" s="12" t="s">
        <v>160</v>
      </c>
      <c r="C65" s="26">
        <v>1800000</v>
      </c>
      <c r="D65" s="13" t="s">
        <v>63</v>
      </c>
      <c r="E65" s="13" t="s">
        <v>161</v>
      </c>
    </row>
    <row r="66" spans="2:5" x14ac:dyDescent="0.3">
      <c r="B66" s="12" t="s">
        <v>162</v>
      </c>
      <c r="C66" s="26">
        <v>720000</v>
      </c>
      <c r="D66" s="13" t="s">
        <v>63</v>
      </c>
      <c r="E66" s="13" t="s">
        <v>163</v>
      </c>
    </row>
    <row r="67" spans="2:5" x14ac:dyDescent="0.3">
      <c r="B67" s="12" t="s">
        <v>164</v>
      </c>
      <c r="C67" s="26">
        <v>360000</v>
      </c>
      <c r="D67" s="13" t="s">
        <v>63</v>
      </c>
      <c r="E67" s="13" t="s">
        <v>165</v>
      </c>
    </row>
  </sheetData>
  <mergeCells count="5">
    <mergeCell ref="B7:E7"/>
    <mergeCell ref="B17:E17"/>
    <mergeCell ref="B27:E27"/>
    <mergeCell ref="B42:E42"/>
    <mergeCell ref="B54:E54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28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45" customWidth="1"/>
    <col min="3" max="7" width="16" customWidth="1"/>
  </cols>
  <sheetData>
    <row r="2" spans="2:7" ht="22.8" x14ac:dyDescent="0.4">
      <c r="B2" s="19" t="s">
        <v>166</v>
      </c>
    </row>
    <row r="3" spans="2:7" x14ac:dyDescent="0.3">
      <c r="B3" s="20" t="s">
        <v>167</v>
      </c>
    </row>
    <row r="5" spans="2:7" x14ac:dyDescent="0.3">
      <c r="B5" s="27"/>
      <c r="C5" s="27" t="s">
        <v>168</v>
      </c>
      <c r="D5" s="27" t="s">
        <v>169</v>
      </c>
      <c r="E5" s="27" t="s">
        <v>170</v>
      </c>
      <c r="F5" s="27" t="s">
        <v>171</v>
      </c>
      <c r="G5" s="27" t="s">
        <v>172</v>
      </c>
    </row>
    <row r="7" spans="2:7" x14ac:dyDescent="0.3">
      <c r="B7" s="12" t="s">
        <v>173</v>
      </c>
      <c r="C7" s="28">
        <f>'1. Assumptions'!$C$8</f>
        <v>4500000</v>
      </c>
      <c r="D7" s="28">
        <f>'1. Assumptions'!$C$8</f>
        <v>4500000</v>
      </c>
      <c r="E7" s="28">
        <f>'1. Assumptions'!$C$8</f>
        <v>4500000</v>
      </c>
      <c r="F7" s="28">
        <f>'1. Assumptions'!$C$8</f>
        <v>4500000</v>
      </c>
      <c r="G7" s="28">
        <f>'1. Assumptions'!$C$8</f>
        <v>4500000</v>
      </c>
    </row>
    <row r="8" spans="2:7" x14ac:dyDescent="0.3">
      <c r="B8" s="12" t="s">
        <v>59</v>
      </c>
      <c r="C8" s="29">
        <f>'1. Assumptions'!$C$9</f>
        <v>3</v>
      </c>
      <c r="D8" s="29">
        <f>'1. Assumptions'!$C$9</f>
        <v>3</v>
      </c>
      <c r="E8" s="29">
        <f>'1. Assumptions'!$C$9</f>
        <v>3</v>
      </c>
      <c r="F8" s="29">
        <f>'1. Assumptions'!$C$9</f>
        <v>3</v>
      </c>
      <c r="G8" s="29">
        <f>'1. Assumptions'!$C$9</f>
        <v>3</v>
      </c>
    </row>
    <row r="9" spans="2:7" x14ac:dyDescent="0.3">
      <c r="B9" s="30" t="s">
        <v>174</v>
      </c>
      <c r="C9" s="31">
        <f>C7*C8</f>
        <v>13500000</v>
      </c>
      <c r="D9" s="31">
        <f>D7*D8</f>
        <v>13500000</v>
      </c>
      <c r="E9" s="31">
        <f>E7*E8</f>
        <v>13500000</v>
      </c>
      <c r="F9" s="31">
        <f>F7*F8</f>
        <v>13500000</v>
      </c>
      <c r="G9" s="31">
        <f>G7*G8</f>
        <v>13500000</v>
      </c>
    </row>
    <row r="11" spans="2:7" x14ac:dyDescent="0.3">
      <c r="B11" s="13" t="s">
        <v>175</v>
      </c>
      <c r="C11" s="32">
        <f>'1. Assumptions'!$C$21</f>
        <v>0.21</v>
      </c>
      <c r="D11" s="32">
        <f>'1. Assumptions'!$C$22</f>
        <v>0.18</v>
      </c>
      <c r="E11" s="32">
        <f>'1. Assumptions'!$C$23</f>
        <v>0.15</v>
      </c>
      <c r="F11" s="32">
        <f>'1. Assumptions'!$C$23</f>
        <v>0.15</v>
      </c>
      <c r="G11" s="32">
        <f>'1. Assumptions'!$C$23</f>
        <v>0.15</v>
      </c>
    </row>
    <row r="12" spans="2:7" x14ac:dyDescent="0.3">
      <c r="B12" s="11" t="s">
        <v>176</v>
      </c>
      <c r="C12" s="33">
        <f>C9*C11</f>
        <v>2835000</v>
      </c>
      <c r="D12" s="33">
        <f>D9*D11</f>
        <v>2430000</v>
      </c>
      <c r="E12" s="33">
        <f>E9*E11</f>
        <v>2025000</v>
      </c>
      <c r="F12" s="33">
        <f>F9*F11</f>
        <v>2025000</v>
      </c>
      <c r="G12" s="33">
        <f>G9*G11</f>
        <v>2025000</v>
      </c>
    </row>
    <row r="13" spans="2:7" x14ac:dyDescent="0.3">
      <c r="B13" s="30" t="s">
        <v>177</v>
      </c>
      <c r="C13" s="31">
        <f>C9+C12</f>
        <v>16335000</v>
      </c>
      <c r="D13" s="31">
        <f>D9+D12</f>
        <v>15930000</v>
      </c>
      <c r="E13" s="31">
        <f>E9+E12</f>
        <v>15525000</v>
      </c>
      <c r="F13" s="31">
        <f>F9+F12</f>
        <v>15525000</v>
      </c>
      <c r="G13" s="31">
        <f>G9+G12</f>
        <v>15525000</v>
      </c>
    </row>
    <row r="15" spans="2:7" x14ac:dyDescent="0.3">
      <c r="B15" s="3" t="s">
        <v>178</v>
      </c>
      <c r="C15" s="3"/>
      <c r="D15" s="3"/>
      <c r="E15" s="3"/>
      <c r="F15" s="3"/>
      <c r="G15" s="3"/>
    </row>
    <row r="16" spans="2:7" x14ac:dyDescent="0.3">
      <c r="B16" s="12" t="s">
        <v>179</v>
      </c>
      <c r="C16" s="28">
        <f>'1. Assumptions'!$C$25*'1. Assumptions'!$C$9</f>
        <v>240000</v>
      </c>
      <c r="D16" s="26">
        <v>0</v>
      </c>
      <c r="E16" s="26">
        <v>0</v>
      </c>
      <c r="F16" s="26">
        <v>0</v>
      </c>
      <c r="G16" s="26">
        <v>0</v>
      </c>
    </row>
    <row r="17" spans="2:7" x14ac:dyDescent="0.3">
      <c r="B17" s="12" t="s">
        <v>180</v>
      </c>
      <c r="C17" s="26">
        <v>180000</v>
      </c>
      <c r="D17" s="26">
        <v>180000</v>
      </c>
      <c r="E17" s="26">
        <v>180000</v>
      </c>
      <c r="F17" s="26">
        <v>180000</v>
      </c>
      <c r="G17" s="26">
        <v>180000</v>
      </c>
    </row>
    <row r="18" spans="2:7" x14ac:dyDescent="0.3">
      <c r="B18" s="30" t="s">
        <v>181</v>
      </c>
      <c r="C18" s="31">
        <f>C16+C17</f>
        <v>420000</v>
      </c>
      <c r="D18" s="31">
        <f>D16+D17</f>
        <v>180000</v>
      </c>
      <c r="E18" s="31">
        <f>E16+E17</f>
        <v>180000</v>
      </c>
      <c r="F18" s="31">
        <f>F16+F17</f>
        <v>180000</v>
      </c>
      <c r="G18" s="31">
        <f>G16+G17</f>
        <v>180000</v>
      </c>
    </row>
    <row r="20" spans="2:7" x14ac:dyDescent="0.3">
      <c r="B20" s="3" t="s">
        <v>182</v>
      </c>
      <c r="C20" s="3"/>
      <c r="D20" s="3"/>
      <c r="E20" s="3"/>
      <c r="F20" s="3"/>
      <c r="G20" s="3"/>
    </row>
    <row r="21" spans="2:7" x14ac:dyDescent="0.3">
      <c r="B21" s="12" t="s">
        <v>183</v>
      </c>
      <c r="C21" s="33">
        <f>C12</f>
        <v>2835000</v>
      </c>
      <c r="D21" s="33">
        <f>D12</f>
        <v>2430000</v>
      </c>
      <c r="E21" s="33">
        <f>E12</f>
        <v>2025000</v>
      </c>
      <c r="F21" s="33">
        <f>F12</f>
        <v>2025000</v>
      </c>
      <c r="G21" s="33">
        <f>G12</f>
        <v>2025000</v>
      </c>
    </row>
    <row r="22" spans="2:7" x14ac:dyDescent="0.3">
      <c r="B22" s="12" t="s">
        <v>184</v>
      </c>
      <c r="C22" s="33">
        <f>-C21*'1. Assumptions'!$C$13</f>
        <v>-907200</v>
      </c>
      <c r="D22" s="33">
        <f>-D21*'1. Assumptions'!$C$13</f>
        <v>-777600</v>
      </c>
      <c r="E22" s="33">
        <f>-E21*'1. Assumptions'!$C$13</f>
        <v>-648000</v>
      </c>
      <c r="F22" s="33">
        <f>-F21*'1. Assumptions'!$C$13</f>
        <v>-648000</v>
      </c>
      <c r="G22" s="33">
        <f>-G21*'1. Assumptions'!$C$13</f>
        <v>-648000</v>
      </c>
    </row>
    <row r="23" spans="2:7" x14ac:dyDescent="0.3">
      <c r="B23" s="12" t="s">
        <v>185</v>
      </c>
      <c r="C23" s="33">
        <f>-C21*0.05</f>
        <v>-141750</v>
      </c>
      <c r="D23" s="33">
        <f>-D21*0.05</f>
        <v>-121500</v>
      </c>
      <c r="E23" s="33">
        <f>-E21*0.05</f>
        <v>-101250</v>
      </c>
      <c r="F23" s="33">
        <f>-F21*0.05</f>
        <v>-101250</v>
      </c>
      <c r="G23" s="33">
        <f>-G21*0.05</f>
        <v>-101250</v>
      </c>
    </row>
    <row r="24" spans="2:7" x14ac:dyDescent="0.3">
      <c r="B24" s="30" t="s">
        <v>186</v>
      </c>
      <c r="C24" s="31">
        <f>SUM(C21:C23)</f>
        <v>1786050</v>
      </c>
      <c r="D24" s="31">
        <f>SUM(D21:D23)</f>
        <v>1530900</v>
      </c>
      <c r="E24" s="31">
        <f>SUM(E21:E23)</f>
        <v>1275750</v>
      </c>
      <c r="F24" s="31">
        <f>SUM(F21:F23)</f>
        <v>1275750</v>
      </c>
      <c r="G24" s="31">
        <f>SUM(G21:G23)</f>
        <v>1275750</v>
      </c>
    </row>
    <row r="25" spans="2:7" x14ac:dyDescent="0.3">
      <c r="B25" s="11" t="s">
        <v>187</v>
      </c>
      <c r="C25" s="34">
        <f>SUM(C24:G24)</f>
        <v>7144200</v>
      </c>
    </row>
    <row r="28" spans="2:7" x14ac:dyDescent="0.3">
      <c r="B28" s="2" t="s">
        <v>188</v>
      </c>
      <c r="C28" s="2"/>
      <c r="D28" s="2"/>
      <c r="E28" s="2"/>
      <c r="F28" s="2"/>
      <c r="G28" s="2"/>
    </row>
  </sheetData>
  <mergeCells count="3">
    <mergeCell ref="B15:G15"/>
    <mergeCell ref="B20:G20"/>
    <mergeCell ref="B28:G28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G38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40" customWidth="1"/>
    <col min="3" max="7" width="16" customWidth="1"/>
  </cols>
  <sheetData>
    <row r="2" spans="2:7" ht="22.8" x14ac:dyDescent="0.4">
      <c r="B2" s="19" t="s">
        <v>189</v>
      </c>
    </row>
    <row r="3" spans="2:7" x14ac:dyDescent="0.3">
      <c r="B3" s="20" t="s">
        <v>190</v>
      </c>
    </row>
    <row r="5" spans="2:7" x14ac:dyDescent="0.3">
      <c r="B5" s="27"/>
      <c r="C5" s="27" t="s">
        <v>168</v>
      </c>
      <c r="D5" s="27" t="s">
        <v>169</v>
      </c>
      <c r="E5" s="27" t="s">
        <v>170</v>
      </c>
      <c r="F5" s="27" t="s">
        <v>171</v>
      </c>
      <c r="G5" s="27" t="s">
        <v>172</v>
      </c>
    </row>
    <row r="7" spans="2:7" x14ac:dyDescent="0.3">
      <c r="B7" s="3" t="s">
        <v>191</v>
      </c>
      <c r="C7" s="3"/>
      <c r="D7" s="3"/>
      <c r="E7" s="3"/>
      <c r="F7" s="3"/>
      <c r="G7" s="3"/>
    </row>
    <row r="8" spans="2:7" x14ac:dyDescent="0.3">
      <c r="B8" s="13" t="s">
        <v>192</v>
      </c>
      <c r="C8" s="24">
        <v>0.4</v>
      </c>
      <c r="D8" s="24">
        <v>0.85</v>
      </c>
      <c r="E8" s="24">
        <v>1</v>
      </c>
      <c r="F8" s="24">
        <v>1.1000000000000001</v>
      </c>
      <c r="G8" s="24">
        <v>1.1499999999999999</v>
      </c>
    </row>
    <row r="10" spans="2:7" x14ac:dyDescent="0.3">
      <c r="B10" s="3" t="s">
        <v>193</v>
      </c>
      <c r="C10" s="3"/>
      <c r="D10" s="3"/>
      <c r="E10" s="3"/>
      <c r="F10" s="3"/>
      <c r="G10" s="3"/>
    </row>
    <row r="11" spans="2:7" x14ac:dyDescent="0.3">
      <c r="B11" s="12" t="s">
        <v>194</v>
      </c>
      <c r="C11" s="35">
        <f>('1. Assumptions'!$C$32*12)*C8</f>
        <v>57.6</v>
      </c>
      <c r="D11" s="35">
        <f>('1. Assumptions'!$C$32*12)*D8</f>
        <v>122.39999999999999</v>
      </c>
      <c r="E11" s="35">
        <f>('1. Assumptions'!$C$32*12)*E8</f>
        <v>144</v>
      </c>
      <c r="F11" s="35">
        <f>('1. Assumptions'!$C$32*12)*F8</f>
        <v>158.4</v>
      </c>
      <c r="G11" s="35">
        <f>('1. Assumptions'!$C$32*12)*G8</f>
        <v>165.6</v>
      </c>
    </row>
    <row r="12" spans="2:7" x14ac:dyDescent="0.3">
      <c r="B12" s="12" t="s">
        <v>195</v>
      </c>
      <c r="C12" s="35">
        <f>('1. Assumptions'!$C$33*12)*C8</f>
        <v>38.400000000000006</v>
      </c>
      <c r="D12" s="35">
        <f>('1. Assumptions'!$C$33*12)*D8</f>
        <v>81.599999999999994</v>
      </c>
      <c r="E12" s="35">
        <f>('1. Assumptions'!$C$33*12)*E8</f>
        <v>96</v>
      </c>
      <c r="F12" s="35">
        <f>('1. Assumptions'!$C$33*12)*F8</f>
        <v>105.60000000000001</v>
      </c>
      <c r="G12" s="35">
        <f>('1. Assumptions'!$C$33*12)*G8</f>
        <v>110.39999999999999</v>
      </c>
    </row>
    <row r="13" spans="2:7" x14ac:dyDescent="0.3">
      <c r="B13" s="12" t="s">
        <v>196</v>
      </c>
      <c r="C13" s="35">
        <f>('1. Assumptions'!$C$34*12)*C8</f>
        <v>19.200000000000003</v>
      </c>
      <c r="D13" s="35">
        <f>('1. Assumptions'!$C$34*12)*D8</f>
        <v>40.799999999999997</v>
      </c>
      <c r="E13" s="35">
        <f>('1. Assumptions'!$C$34*12)*E8</f>
        <v>48</v>
      </c>
      <c r="F13" s="35">
        <f>('1. Assumptions'!$C$34*12)*F8</f>
        <v>52.800000000000004</v>
      </c>
      <c r="G13" s="35">
        <f>('1. Assumptions'!$C$34*12)*G8</f>
        <v>55.199999999999996</v>
      </c>
    </row>
    <row r="14" spans="2:7" x14ac:dyDescent="0.3">
      <c r="B14" s="12" t="s">
        <v>197</v>
      </c>
      <c r="C14" s="35">
        <f>('1. Assumptions'!$C$35*12)*C8</f>
        <v>4.8000000000000007</v>
      </c>
      <c r="D14" s="35">
        <f>('1. Assumptions'!$C$35*12)*D8</f>
        <v>10.199999999999999</v>
      </c>
      <c r="E14" s="35">
        <f>('1. Assumptions'!$C$35*12)*E8</f>
        <v>12</v>
      </c>
      <c r="F14" s="35">
        <f>('1. Assumptions'!$C$35*12)*F8</f>
        <v>13.200000000000001</v>
      </c>
      <c r="G14" s="35">
        <f>('1. Assumptions'!$C$35*12)*G8</f>
        <v>13.799999999999999</v>
      </c>
    </row>
    <row r="16" spans="2:7" x14ac:dyDescent="0.3">
      <c r="B16" s="3" t="s">
        <v>198</v>
      </c>
      <c r="C16" s="3"/>
      <c r="D16" s="3"/>
      <c r="E16" s="3"/>
      <c r="F16" s="3"/>
      <c r="G16" s="3"/>
    </row>
    <row r="17" spans="2:7" x14ac:dyDescent="0.3">
      <c r="B17" s="12" t="s">
        <v>199</v>
      </c>
      <c r="C17" s="33">
        <f>C11*'1. Assumptions'!$C$28</f>
        <v>259200</v>
      </c>
      <c r="D17" s="33">
        <f>D11*'1. Assumptions'!$C$28</f>
        <v>550800</v>
      </c>
      <c r="E17" s="33">
        <f>E11*'1. Assumptions'!$C$28</f>
        <v>648000</v>
      </c>
      <c r="F17" s="33">
        <f>F11*'1. Assumptions'!$C$28</f>
        <v>712800</v>
      </c>
      <c r="G17" s="33">
        <f>G11*'1. Assumptions'!$C$28</f>
        <v>745200</v>
      </c>
    </row>
    <row r="18" spans="2:7" x14ac:dyDescent="0.3">
      <c r="B18" s="12" t="s">
        <v>200</v>
      </c>
      <c r="C18" s="33">
        <f>C12*'1. Assumptions'!$C$29</f>
        <v>460800.00000000006</v>
      </c>
      <c r="D18" s="33">
        <f>D12*'1. Assumptions'!$C$29</f>
        <v>979199.99999999988</v>
      </c>
      <c r="E18" s="33">
        <f>E12*'1. Assumptions'!$C$29</f>
        <v>1152000</v>
      </c>
      <c r="F18" s="33">
        <f>F12*'1. Assumptions'!$C$29</f>
        <v>1267200</v>
      </c>
      <c r="G18" s="33">
        <f>G12*'1. Assumptions'!$C$29</f>
        <v>1324800</v>
      </c>
    </row>
    <row r="19" spans="2:7" x14ac:dyDescent="0.3">
      <c r="B19" s="12" t="s">
        <v>201</v>
      </c>
      <c r="C19" s="33">
        <f>C13*'1. Assumptions'!$C$30</f>
        <v>729600.00000000012</v>
      </c>
      <c r="D19" s="33">
        <f>D13*'1. Assumptions'!$C$30</f>
        <v>1550400</v>
      </c>
      <c r="E19" s="33">
        <f>E13*'1. Assumptions'!$C$30</f>
        <v>1824000</v>
      </c>
      <c r="F19" s="33">
        <f>F13*'1. Assumptions'!$C$30</f>
        <v>2006400.0000000002</v>
      </c>
      <c r="G19" s="33">
        <f>G13*'1. Assumptions'!$C$30</f>
        <v>2097600</v>
      </c>
    </row>
    <row r="20" spans="2:7" x14ac:dyDescent="0.3">
      <c r="B20" s="12" t="s">
        <v>202</v>
      </c>
      <c r="C20" s="33">
        <f>C14*'1. Assumptions'!$C$31</f>
        <v>576000.00000000012</v>
      </c>
      <c r="D20" s="33">
        <f>D14*'1. Assumptions'!$C$31</f>
        <v>1224000</v>
      </c>
      <c r="E20" s="33">
        <f>E14*'1. Assumptions'!$C$31</f>
        <v>1440000</v>
      </c>
      <c r="F20" s="33">
        <f>F14*'1. Assumptions'!$C$31</f>
        <v>1584000.0000000002</v>
      </c>
      <c r="G20" s="33">
        <f>G14*'1. Assumptions'!$C$31</f>
        <v>1655999.9999999998</v>
      </c>
    </row>
    <row r="21" spans="2:7" x14ac:dyDescent="0.3">
      <c r="B21" s="30" t="s">
        <v>203</v>
      </c>
      <c r="C21" s="31">
        <f>SUM(C17:C20)</f>
        <v>2025600</v>
      </c>
      <c r="D21" s="31">
        <f>SUM(D17:D20)</f>
        <v>4304400</v>
      </c>
      <c r="E21" s="31">
        <f>SUM(E17:E20)</f>
        <v>5064000</v>
      </c>
      <c r="F21" s="31">
        <f>SUM(F17:F20)</f>
        <v>5570400</v>
      </c>
      <c r="G21" s="31">
        <f>SUM(G17:G20)</f>
        <v>5823600</v>
      </c>
    </row>
    <row r="23" spans="2:7" x14ac:dyDescent="0.3">
      <c r="B23" s="12" t="s">
        <v>204</v>
      </c>
      <c r="C23" s="33">
        <f>C21*'1. Assumptions'!$C$40</f>
        <v>607680</v>
      </c>
      <c r="D23" s="33">
        <f>D21*'1. Assumptions'!$C$40</f>
        <v>1291320</v>
      </c>
      <c r="E23" s="33">
        <f>E21*'1. Assumptions'!$C$40</f>
        <v>1519200</v>
      </c>
      <c r="F23" s="33">
        <f>F21*'1. Assumptions'!$C$40</f>
        <v>1671120</v>
      </c>
      <c r="G23" s="33">
        <f>G21*'1. Assumptions'!$C$40</f>
        <v>1747080</v>
      </c>
    </row>
    <row r="24" spans="2:7" x14ac:dyDescent="0.3">
      <c r="B24" s="30" t="s">
        <v>205</v>
      </c>
      <c r="C24" s="31">
        <f>C21+C23</f>
        <v>2633280</v>
      </c>
      <c r="D24" s="31">
        <f>D21+D23</f>
        <v>5595720</v>
      </c>
      <c r="E24" s="31">
        <f>E21+E23</f>
        <v>6583200</v>
      </c>
      <c r="F24" s="31">
        <f>F21+F23</f>
        <v>7241520</v>
      </c>
      <c r="G24" s="31">
        <f>G21+G23</f>
        <v>7570680</v>
      </c>
    </row>
    <row r="26" spans="2:7" x14ac:dyDescent="0.3">
      <c r="B26" s="3" t="s">
        <v>206</v>
      </c>
      <c r="C26" s="3"/>
      <c r="D26" s="3"/>
      <c r="E26" s="3"/>
      <c r="F26" s="3"/>
      <c r="G26" s="3"/>
    </row>
    <row r="27" spans="2:7" x14ac:dyDescent="0.3">
      <c r="B27" s="12" t="s">
        <v>207</v>
      </c>
      <c r="C27" s="33">
        <f>-C21*'1. Assumptions'!$C$37</f>
        <v>-648192</v>
      </c>
      <c r="D27" s="33">
        <f>-D21*'1. Assumptions'!$C$37</f>
        <v>-1377408</v>
      </c>
      <c r="E27" s="33">
        <f>-E21*'1. Assumptions'!$C$37</f>
        <v>-1620480</v>
      </c>
      <c r="F27" s="33">
        <f>-F21*'1. Assumptions'!$C$37</f>
        <v>-1782528</v>
      </c>
      <c r="G27" s="33">
        <f>-G21*'1. Assumptions'!$C$37</f>
        <v>-1863552</v>
      </c>
    </row>
    <row r="28" spans="2:7" x14ac:dyDescent="0.3">
      <c r="B28" s="12" t="s">
        <v>208</v>
      </c>
      <c r="C28" s="33">
        <f>-C23*0.6</f>
        <v>-364608</v>
      </c>
      <c r="D28" s="33">
        <f>-D23*0.6</f>
        <v>-774792</v>
      </c>
      <c r="E28" s="33">
        <f>-E23*0.6</f>
        <v>-911520</v>
      </c>
      <c r="F28" s="33">
        <f>-F23*0.6</f>
        <v>-1002672</v>
      </c>
      <c r="G28" s="33">
        <f>-G23*0.6</f>
        <v>-1048248</v>
      </c>
    </row>
    <row r="29" spans="2:7" x14ac:dyDescent="0.3">
      <c r="B29" s="12" t="s">
        <v>209</v>
      </c>
      <c r="C29" s="33">
        <f>-C24*'1. Assumptions'!$C$38</f>
        <v>-473990.39999999997</v>
      </c>
      <c r="D29" s="33">
        <f>-D24*'1. Assumptions'!$C$38</f>
        <v>-1007229.6</v>
      </c>
      <c r="E29" s="33">
        <f>-E24*'1. Assumptions'!$C$38</f>
        <v>-1184976</v>
      </c>
      <c r="F29" s="33">
        <f>-F24*'1. Assumptions'!$C$38</f>
        <v>-1303473.5999999999</v>
      </c>
      <c r="G29" s="33">
        <f>-G24*'1. Assumptions'!$C$38</f>
        <v>-1362722.4</v>
      </c>
    </row>
    <row r="30" spans="2:7" x14ac:dyDescent="0.3">
      <c r="B30" s="12" t="s">
        <v>210</v>
      </c>
      <c r="C30" s="26">
        <v>-144000</v>
      </c>
      <c r="D30" s="26">
        <v>-144000</v>
      </c>
      <c r="E30" s="26">
        <v>-144000</v>
      </c>
      <c r="F30" s="26">
        <v>-144000</v>
      </c>
      <c r="G30" s="26">
        <v>-144000</v>
      </c>
    </row>
    <row r="31" spans="2:7" x14ac:dyDescent="0.3">
      <c r="B31" s="30" t="s">
        <v>211</v>
      </c>
      <c r="C31" s="31">
        <f>SUM(C27:C30)</f>
        <v>-1630790.4</v>
      </c>
      <c r="D31" s="31">
        <f>SUM(D27:D30)</f>
        <v>-3303429.6</v>
      </c>
      <c r="E31" s="31">
        <f>SUM(E27:E30)</f>
        <v>-3860976</v>
      </c>
      <c r="F31" s="31">
        <f>SUM(F27:F30)</f>
        <v>-4232673.5999999996</v>
      </c>
      <c r="G31" s="31">
        <f>SUM(G27:G30)</f>
        <v>-4418522.4000000004</v>
      </c>
    </row>
    <row r="33" spans="2:7" x14ac:dyDescent="0.3">
      <c r="B33" s="30" t="s">
        <v>212</v>
      </c>
      <c r="C33" s="31">
        <f>C24+C31</f>
        <v>1002489.6000000001</v>
      </c>
      <c r="D33" s="31">
        <f>D24+D31</f>
        <v>2292290.4</v>
      </c>
      <c r="E33" s="31">
        <f>E24+E31</f>
        <v>2722224</v>
      </c>
      <c r="F33" s="31">
        <f>F24+F31</f>
        <v>3008846.4000000004</v>
      </c>
      <c r="G33" s="31">
        <f>G24+G31</f>
        <v>3152157.5999999996</v>
      </c>
    </row>
    <row r="34" spans="2:7" x14ac:dyDescent="0.3">
      <c r="B34" s="13" t="s">
        <v>213</v>
      </c>
      <c r="C34" s="36">
        <f>IF(C24=0,0,C33/C24)</f>
        <v>0.3806999635435655</v>
      </c>
      <c r="D34" s="36">
        <f>IF(D24=0,0,D33/D24)</f>
        <v>0.40965066157706242</v>
      </c>
      <c r="E34" s="36">
        <f>IF(E24=0,0,E33/E24)</f>
        <v>0.41351075464819542</v>
      </c>
      <c r="F34" s="36">
        <f>IF(F24=0,0,F33/F24)</f>
        <v>0.41549928744241543</v>
      </c>
      <c r="G34" s="36">
        <f>IF(G24=0,0,G33/G24)</f>
        <v>0.41636386691816318</v>
      </c>
    </row>
    <row r="36" spans="2:7" x14ac:dyDescent="0.3">
      <c r="B36" s="11" t="s">
        <v>187</v>
      </c>
      <c r="C36" s="34">
        <f>SUM(C33:G33)</f>
        <v>12178008</v>
      </c>
    </row>
    <row r="38" spans="2:7" ht="30" customHeight="1" x14ac:dyDescent="0.3">
      <c r="B38" s="1" t="s">
        <v>214</v>
      </c>
      <c r="C38" s="1"/>
      <c r="D38" s="1"/>
      <c r="E38" s="1"/>
      <c r="F38" s="1"/>
      <c r="G38" s="1"/>
    </row>
  </sheetData>
  <mergeCells count="5">
    <mergeCell ref="B7:G7"/>
    <mergeCell ref="B10:G10"/>
    <mergeCell ref="B16:G16"/>
    <mergeCell ref="B26:G26"/>
    <mergeCell ref="B38:G38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G32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40" customWidth="1"/>
    <col min="3" max="7" width="16" customWidth="1"/>
  </cols>
  <sheetData>
    <row r="2" spans="2:7" ht="22.8" x14ac:dyDescent="0.4">
      <c r="B2" s="19" t="s">
        <v>215</v>
      </c>
    </row>
    <row r="3" spans="2:7" x14ac:dyDescent="0.3">
      <c r="B3" s="20" t="s">
        <v>216</v>
      </c>
    </row>
    <row r="5" spans="2:7" x14ac:dyDescent="0.3">
      <c r="B5" s="27"/>
      <c r="C5" s="27" t="s">
        <v>168</v>
      </c>
      <c r="D5" s="27" t="s">
        <v>169</v>
      </c>
      <c r="E5" s="27" t="s">
        <v>170</v>
      </c>
      <c r="F5" s="27" t="s">
        <v>171</v>
      </c>
      <c r="G5" s="27" t="s">
        <v>172</v>
      </c>
    </row>
    <row r="7" spans="2:7" x14ac:dyDescent="0.3">
      <c r="B7" s="3" t="s">
        <v>217</v>
      </c>
      <c r="C7" s="3"/>
      <c r="D7" s="3"/>
      <c r="E7" s="3"/>
      <c r="F7" s="3"/>
      <c r="G7" s="3"/>
    </row>
    <row r="8" spans="2:7" x14ac:dyDescent="0.3">
      <c r="B8" s="12" t="s">
        <v>218</v>
      </c>
      <c r="C8" s="25">
        <v>62000</v>
      </c>
      <c r="D8" s="25">
        <v>68000</v>
      </c>
      <c r="E8" s="25">
        <v>72000</v>
      </c>
      <c r="F8" s="25">
        <v>75000</v>
      </c>
      <c r="G8" s="25">
        <v>78000</v>
      </c>
    </row>
    <row r="9" spans="2:7" x14ac:dyDescent="0.3">
      <c r="B9" s="12" t="s">
        <v>219</v>
      </c>
      <c r="C9" s="35">
        <f>C8*'1. Assumptions'!$C$46</f>
        <v>11160</v>
      </c>
      <c r="D9" s="35">
        <f>C9+(D8-C8)*'1. Assumptions'!$C$46</f>
        <v>12240</v>
      </c>
      <c r="E9" s="35">
        <f>D9+(E8-D8)*'1. Assumptions'!$C$46</f>
        <v>12960</v>
      </c>
      <c r="F9" s="35">
        <f>E9+(F8-E8)*'1. Assumptions'!$C$46</f>
        <v>13500</v>
      </c>
      <c r="G9" s="35">
        <f>F9+(G8-F8)*'1. Assumptions'!$C$46</f>
        <v>14040</v>
      </c>
    </row>
    <row r="10" spans="2:7" x14ac:dyDescent="0.3">
      <c r="B10" s="12" t="s">
        <v>220</v>
      </c>
      <c r="C10" s="35">
        <f>C9*'1. Assumptions'!$C$47</f>
        <v>1116</v>
      </c>
      <c r="D10" s="35">
        <f>D9*'1. Assumptions'!$C$47</f>
        <v>1224</v>
      </c>
      <c r="E10" s="35">
        <f>E9*'1. Assumptions'!$C$47</f>
        <v>1296</v>
      </c>
      <c r="F10" s="35">
        <f>F9*'1. Assumptions'!$C$47</f>
        <v>1350</v>
      </c>
      <c r="G10" s="35">
        <f>G9*'1. Assumptions'!$C$47</f>
        <v>1404</v>
      </c>
    </row>
    <row r="11" spans="2:7" x14ac:dyDescent="0.3">
      <c r="B11" s="12" t="s">
        <v>221</v>
      </c>
      <c r="C11" s="35">
        <f>C10*'1. Assumptions'!$C$48</f>
        <v>89.28</v>
      </c>
      <c r="D11" s="35">
        <f>D10*'1. Assumptions'!$C$48</f>
        <v>97.92</v>
      </c>
      <c r="E11" s="35">
        <f>E10*'1. Assumptions'!$C$48</f>
        <v>103.68</v>
      </c>
      <c r="F11" s="35">
        <f>F10*'1. Assumptions'!$C$48</f>
        <v>108</v>
      </c>
      <c r="G11" s="35">
        <f>G10*'1. Assumptions'!$C$48</f>
        <v>112.32000000000001</v>
      </c>
    </row>
    <row r="13" spans="2:7" x14ac:dyDescent="0.3">
      <c r="B13" s="3" t="s">
        <v>222</v>
      </c>
      <c r="C13" s="3"/>
      <c r="D13" s="3"/>
      <c r="E13" s="3"/>
      <c r="F13" s="3"/>
      <c r="G13" s="3"/>
    </row>
    <row r="14" spans="2:7" x14ac:dyDescent="0.3">
      <c r="B14" s="12" t="s">
        <v>223</v>
      </c>
      <c r="C14" s="33">
        <f>C9*'1. Assumptions'!$C$43</f>
        <v>279000</v>
      </c>
      <c r="D14" s="33">
        <f>(D9-C9)*'1. Assumptions'!$C$43</f>
        <v>27000</v>
      </c>
      <c r="E14" s="33">
        <f>(E9-D9)*'1. Assumptions'!$C$43</f>
        <v>18000</v>
      </c>
      <c r="F14" s="33">
        <f>(F9-E9)*'1. Assumptions'!$C$43</f>
        <v>13500</v>
      </c>
      <c r="G14" s="33">
        <f>(G9-F9)*'1. Assumptions'!$C$43</f>
        <v>13500</v>
      </c>
    </row>
    <row r="15" spans="2:7" x14ac:dyDescent="0.3">
      <c r="B15" s="12" t="s">
        <v>224</v>
      </c>
      <c r="C15" s="33">
        <f>C10*'1. Assumptions'!$C$44</f>
        <v>83700</v>
      </c>
      <c r="D15" s="33">
        <f>(D10-C10)*'1. Assumptions'!$C$44</f>
        <v>8100</v>
      </c>
      <c r="E15" s="33">
        <f>(E10-D10)*'1. Assumptions'!$C$44</f>
        <v>5400</v>
      </c>
      <c r="F15" s="33">
        <f>(F10-E10)*'1. Assumptions'!$C$44</f>
        <v>4050</v>
      </c>
      <c r="G15" s="33">
        <f>(G10-F10)*'1. Assumptions'!$C$44</f>
        <v>4050</v>
      </c>
    </row>
    <row r="16" spans="2:7" x14ac:dyDescent="0.3">
      <c r="B16" s="12" t="s">
        <v>225</v>
      </c>
      <c r="C16" s="33">
        <f>C11*'1. Assumptions'!$C$45</f>
        <v>22320</v>
      </c>
      <c r="D16" s="33">
        <f>(D11-C11)*'1. Assumptions'!$C$45</f>
        <v>2160</v>
      </c>
      <c r="E16" s="33">
        <f>(E11-D11)*'1. Assumptions'!$C$45</f>
        <v>1440.0000000000014</v>
      </c>
      <c r="F16" s="33">
        <f>(F11-E11)*'1. Assumptions'!$C$45</f>
        <v>1079.9999999999982</v>
      </c>
      <c r="G16" s="33">
        <f>(G11-F11)*'1. Assumptions'!$C$45</f>
        <v>1080.0000000000018</v>
      </c>
    </row>
    <row r="17" spans="2:7" x14ac:dyDescent="0.3">
      <c r="B17" s="12" t="s">
        <v>226</v>
      </c>
      <c r="C17" s="33">
        <f>(C9+C10+C11)*'1. Assumptions'!$C$52</f>
        <v>4327848</v>
      </c>
      <c r="D17" s="33">
        <f>(D9+D10+D11)*'1. Assumptions'!$C$52</f>
        <v>4746672</v>
      </c>
      <c r="E17" s="33">
        <f>(E9+E10+E11)*'1. Assumptions'!$C$52</f>
        <v>5025888</v>
      </c>
      <c r="F17" s="33">
        <f>(F9+F10+F11)*'1. Assumptions'!$C$52</f>
        <v>5235300</v>
      </c>
      <c r="G17" s="33">
        <f>(G9+G10+G11)*'1. Assumptions'!$C$52</f>
        <v>5444712</v>
      </c>
    </row>
    <row r="18" spans="2:7" x14ac:dyDescent="0.3">
      <c r="B18" s="30" t="s">
        <v>227</v>
      </c>
      <c r="C18" s="31">
        <f>SUM(C14:C17)</f>
        <v>4712868</v>
      </c>
      <c r="D18" s="31">
        <f>SUM(D14:D17)</f>
        <v>4783932</v>
      </c>
      <c r="E18" s="31">
        <f>SUM(E14:E17)</f>
        <v>5050728</v>
      </c>
      <c r="F18" s="31">
        <f>SUM(F14:F17)</f>
        <v>5253930</v>
      </c>
      <c r="G18" s="31">
        <f>SUM(G14:G17)</f>
        <v>5463342</v>
      </c>
    </row>
    <row r="20" spans="2:7" x14ac:dyDescent="0.3">
      <c r="B20" s="3" t="s">
        <v>228</v>
      </c>
      <c r="C20" s="3"/>
      <c r="D20" s="3"/>
      <c r="E20" s="3"/>
      <c r="F20" s="3"/>
      <c r="G20" s="3"/>
    </row>
    <row r="21" spans="2:7" x14ac:dyDescent="0.3">
      <c r="B21" s="13" t="s">
        <v>229</v>
      </c>
      <c r="C21" s="28">
        <f>'1. Assumptions'!$C$10*1.5</f>
        <v>217.5</v>
      </c>
      <c r="D21" s="28">
        <f>'1. Assumptions'!$C$10*1.5</f>
        <v>217.5</v>
      </c>
      <c r="E21" s="28">
        <f>'1. Assumptions'!$C$10*1.5</f>
        <v>217.5</v>
      </c>
      <c r="F21" s="28">
        <f>'1. Assumptions'!$C$10*1.5</f>
        <v>217.5</v>
      </c>
      <c r="G21" s="28">
        <f>'1. Assumptions'!$C$10*1.5</f>
        <v>217.5</v>
      </c>
    </row>
    <row r="22" spans="2:7" x14ac:dyDescent="0.3">
      <c r="B22" s="12" t="s">
        <v>230</v>
      </c>
      <c r="C22" s="33">
        <f>C9*C21*'1. Assumptions'!$C$49</f>
        <v>485460</v>
      </c>
      <c r="D22" s="33">
        <f>D9*D21*'1. Assumptions'!$C$49</f>
        <v>532440</v>
      </c>
      <c r="E22" s="33">
        <f>E9*E21*'1. Assumptions'!$C$49</f>
        <v>563760</v>
      </c>
      <c r="F22" s="33">
        <f>F9*F21*'1. Assumptions'!$C$49</f>
        <v>587250</v>
      </c>
      <c r="G22" s="33">
        <f>G9*G21*'1. Assumptions'!$C$49</f>
        <v>610740</v>
      </c>
    </row>
    <row r="23" spans="2:7" x14ac:dyDescent="0.3">
      <c r="B23" s="12" t="s">
        <v>231</v>
      </c>
      <c r="C23" s="33">
        <f>C10*C21*'1. Assumptions'!$C$50</f>
        <v>84955.5</v>
      </c>
      <c r="D23" s="33">
        <f>D10*D21*'1. Assumptions'!$C$50</f>
        <v>93177</v>
      </c>
      <c r="E23" s="33">
        <f>E10*E21*'1. Assumptions'!$C$50</f>
        <v>98658</v>
      </c>
      <c r="F23" s="33">
        <f>F10*F21*'1. Assumptions'!$C$50</f>
        <v>102768.75</v>
      </c>
      <c r="G23" s="33">
        <f>G10*G21*'1. Assumptions'!$C$50</f>
        <v>106879.5</v>
      </c>
    </row>
    <row r="24" spans="2:7" x14ac:dyDescent="0.3">
      <c r="B24" s="12" t="s">
        <v>232</v>
      </c>
      <c r="C24" s="33">
        <f>C11*C21*'1. Assumptions'!$C$51</f>
        <v>10680.12</v>
      </c>
      <c r="D24" s="33">
        <f>D11*D21*'1. Assumptions'!$C$51</f>
        <v>11713.680000000002</v>
      </c>
      <c r="E24" s="33">
        <f>E11*E21*'1. Assumptions'!$C$51</f>
        <v>12402.720000000001</v>
      </c>
      <c r="F24" s="33">
        <f>F11*F21*'1. Assumptions'!$C$51</f>
        <v>12919.500000000002</v>
      </c>
      <c r="G24" s="33">
        <f>G11*G21*'1. Assumptions'!$C$51</f>
        <v>13436.280000000002</v>
      </c>
    </row>
    <row r="25" spans="2:7" x14ac:dyDescent="0.3">
      <c r="B25" s="30" t="s">
        <v>233</v>
      </c>
      <c r="C25" s="31">
        <f>SUM(C22:C24)</f>
        <v>581095.62</v>
      </c>
      <c r="D25" s="31">
        <f>SUM(D22:D24)</f>
        <v>637330.68000000005</v>
      </c>
      <c r="E25" s="31">
        <f>SUM(E22:E24)</f>
        <v>674820.72</v>
      </c>
      <c r="F25" s="31">
        <f>SUM(F22:F24)</f>
        <v>702938.25</v>
      </c>
      <c r="G25" s="31">
        <f>SUM(G22:G24)</f>
        <v>731055.78</v>
      </c>
    </row>
    <row r="27" spans="2:7" ht="26.4" x14ac:dyDescent="0.3">
      <c r="B27" s="12" t="s">
        <v>234</v>
      </c>
      <c r="C27" s="33">
        <f>-C25*0.12</f>
        <v>-69731.474399999992</v>
      </c>
      <c r="D27" s="33">
        <f>-D25*0.12</f>
        <v>-76479.681599999996</v>
      </c>
      <c r="E27" s="33">
        <f>-E25*0.12</f>
        <v>-80978.486399999994</v>
      </c>
      <c r="F27" s="33">
        <f>-F25*0.12</f>
        <v>-84352.59</v>
      </c>
      <c r="G27" s="33">
        <f>-G25*0.12</f>
        <v>-87726.693599999999</v>
      </c>
    </row>
    <row r="28" spans="2:7" x14ac:dyDescent="0.3">
      <c r="B28" s="30" t="s">
        <v>235</v>
      </c>
      <c r="C28" s="31">
        <f>C25+C27</f>
        <v>511364.14559999999</v>
      </c>
      <c r="D28" s="31">
        <f>D25+D27</f>
        <v>560850.99840000004</v>
      </c>
      <c r="E28" s="31">
        <f>E25+E27</f>
        <v>593842.23359999992</v>
      </c>
      <c r="F28" s="31">
        <f>F25+F27</f>
        <v>618585.66</v>
      </c>
      <c r="G28" s="31">
        <f>G25+G27</f>
        <v>643329.08640000003</v>
      </c>
    </row>
    <row r="30" spans="2:7" x14ac:dyDescent="0.3">
      <c r="B30" s="11" t="s">
        <v>236</v>
      </c>
      <c r="C30" s="34">
        <f>SUM(C28:G28)</f>
        <v>2927972.1239999998</v>
      </c>
    </row>
    <row r="32" spans="2:7" ht="30" customHeight="1" x14ac:dyDescent="0.3">
      <c r="B32" s="1" t="s">
        <v>237</v>
      </c>
      <c r="C32" s="1"/>
      <c r="D32" s="1"/>
      <c r="E32" s="1"/>
      <c r="F32" s="1"/>
      <c r="G32" s="1"/>
    </row>
  </sheetData>
  <mergeCells count="4">
    <mergeCell ref="B7:G7"/>
    <mergeCell ref="B13:G13"/>
    <mergeCell ref="B20:G20"/>
    <mergeCell ref="B32:G32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G46"/>
  <sheetViews>
    <sheetView topLeftCell="A14" zoomScaleNormal="100" workbookViewId="0">
      <selection activeCell="L14" sqref="L14"/>
    </sheetView>
  </sheetViews>
  <sheetFormatPr defaultColWidth="8.6640625" defaultRowHeight="14.4" x14ac:dyDescent="0.3"/>
  <cols>
    <col min="1" max="1" width="3" customWidth="1"/>
    <col min="2" max="2" width="40" customWidth="1"/>
    <col min="3" max="7" width="16" customWidth="1"/>
  </cols>
  <sheetData>
    <row r="2" spans="2:7" ht="22.8" x14ac:dyDescent="0.4">
      <c r="B2" s="19" t="s">
        <v>238</v>
      </c>
    </row>
    <row r="3" spans="2:7" x14ac:dyDescent="0.3">
      <c r="B3" s="20" t="s">
        <v>239</v>
      </c>
    </row>
    <row r="5" spans="2:7" x14ac:dyDescent="0.3">
      <c r="B5" s="27"/>
      <c r="C5" s="27" t="s">
        <v>168</v>
      </c>
      <c r="D5" s="27" t="s">
        <v>169</v>
      </c>
      <c r="E5" s="27" t="s">
        <v>170</v>
      </c>
      <c r="F5" s="27" t="s">
        <v>171</v>
      </c>
      <c r="G5" s="27" t="s">
        <v>172</v>
      </c>
    </row>
    <row r="7" spans="2:7" x14ac:dyDescent="0.3">
      <c r="B7" s="3" t="s">
        <v>240</v>
      </c>
      <c r="C7" s="3"/>
      <c r="D7" s="3"/>
      <c r="E7" s="3"/>
      <c r="F7" s="3"/>
      <c r="G7" s="3"/>
    </row>
    <row r="8" spans="2:7" x14ac:dyDescent="0.3">
      <c r="B8" s="12" t="s">
        <v>241</v>
      </c>
      <c r="C8" s="25">
        <v>0</v>
      </c>
      <c r="D8" s="25">
        <v>0</v>
      </c>
      <c r="E8" s="25">
        <v>1</v>
      </c>
      <c r="F8" s="25">
        <v>2</v>
      </c>
      <c r="G8" s="25">
        <v>3</v>
      </c>
    </row>
    <row r="9" spans="2:7" x14ac:dyDescent="0.3">
      <c r="B9" s="12" t="s">
        <v>242</v>
      </c>
      <c r="C9" s="25">
        <v>0</v>
      </c>
      <c r="D9" s="25">
        <v>0</v>
      </c>
      <c r="E9" s="25">
        <v>3</v>
      </c>
      <c r="F9" s="25">
        <v>8</v>
      </c>
      <c r="G9" s="25">
        <v>15</v>
      </c>
    </row>
    <row r="10" spans="2:7" x14ac:dyDescent="0.3">
      <c r="B10" s="12" t="s">
        <v>243</v>
      </c>
      <c r="C10" s="25">
        <v>0</v>
      </c>
      <c r="D10" s="25">
        <v>0</v>
      </c>
      <c r="E10" s="25">
        <v>5</v>
      </c>
      <c r="F10" s="25">
        <v>14</v>
      </c>
      <c r="G10" s="25">
        <v>25</v>
      </c>
    </row>
    <row r="11" spans="2:7" x14ac:dyDescent="0.3">
      <c r="B11" s="12" t="s">
        <v>244</v>
      </c>
      <c r="C11" s="25">
        <v>0</v>
      </c>
      <c r="D11" s="25">
        <v>0</v>
      </c>
      <c r="E11" s="25">
        <v>8</v>
      </c>
      <c r="F11" s="25">
        <v>22</v>
      </c>
      <c r="G11" s="25">
        <v>40</v>
      </c>
    </row>
    <row r="12" spans="2:7" x14ac:dyDescent="0.3">
      <c r="B12" s="30" t="s">
        <v>245</v>
      </c>
      <c r="C12" s="37">
        <f>SUM(C8:C11)</f>
        <v>0</v>
      </c>
      <c r="D12" s="37">
        <f>SUM(D8:D11)</f>
        <v>0</v>
      </c>
      <c r="E12" s="37">
        <f>SUM(E8:E11)</f>
        <v>17</v>
      </c>
      <c r="F12" s="37">
        <f>SUM(F8:F11)</f>
        <v>46</v>
      </c>
      <c r="G12" s="37">
        <f>SUM(G8:G11)</f>
        <v>83</v>
      </c>
    </row>
    <row r="14" spans="2:7" x14ac:dyDescent="0.3">
      <c r="B14" s="3" t="s">
        <v>246</v>
      </c>
      <c r="C14" s="3"/>
      <c r="D14" s="3"/>
      <c r="E14" s="3"/>
      <c r="F14" s="3"/>
      <c r="G14" s="3"/>
    </row>
    <row r="15" spans="2:7" x14ac:dyDescent="0.3">
      <c r="B15" s="12" t="s">
        <v>247</v>
      </c>
      <c r="C15" s="35">
        <f>C8</f>
        <v>0</v>
      </c>
      <c r="D15" s="35">
        <f t="shared" ref="D15:G18" si="0">D8-C8</f>
        <v>0</v>
      </c>
      <c r="E15" s="35">
        <f t="shared" si="0"/>
        <v>1</v>
      </c>
      <c r="F15" s="35">
        <f t="shared" si="0"/>
        <v>1</v>
      </c>
      <c r="G15" s="35">
        <f t="shared" si="0"/>
        <v>1</v>
      </c>
    </row>
    <row r="16" spans="2:7" x14ac:dyDescent="0.3">
      <c r="B16" s="12" t="s">
        <v>248</v>
      </c>
      <c r="C16" s="35">
        <f>C9</f>
        <v>0</v>
      </c>
      <c r="D16" s="35">
        <f t="shared" si="0"/>
        <v>0</v>
      </c>
      <c r="E16" s="35">
        <f t="shared" si="0"/>
        <v>3</v>
      </c>
      <c r="F16" s="35">
        <f t="shared" si="0"/>
        <v>5</v>
      </c>
      <c r="G16" s="35">
        <f t="shared" si="0"/>
        <v>7</v>
      </c>
    </row>
    <row r="17" spans="2:7" x14ac:dyDescent="0.3">
      <c r="B17" s="12" t="s">
        <v>249</v>
      </c>
      <c r="C17" s="35">
        <f>C10</f>
        <v>0</v>
      </c>
      <c r="D17" s="35">
        <f t="shared" si="0"/>
        <v>0</v>
      </c>
      <c r="E17" s="35">
        <f t="shared" si="0"/>
        <v>5</v>
      </c>
      <c r="F17" s="35">
        <f t="shared" si="0"/>
        <v>9</v>
      </c>
      <c r="G17" s="35">
        <f t="shared" si="0"/>
        <v>11</v>
      </c>
    </row>
    <row r="18" spans="2:7" x14ac:dyDescent="0.3">
      <c r="B18" s="12" t="s">
        <v>250</v>
      </c>
      <c r="C18" s="35">
        <f>C11</f>
        <v>0</v>
      </c>
      <c r="D18" s="35">
        <f t="shared" si="0"/>
        <v>0</v>
      </c>
      <c r="E18" s="35">
        <f t="shared" si="0"/>
        <v>8</v>
      </c>
      <c r="F18" s="35">
        <f t="shared" si="0"/>
        <v>14</v>
      </c>
      <c r="G18" s="35">
        <f t="shared" si="0"/>
        <v>18</v>
      </c>
    </row>
    <row r="20" spans="2:7" x14ac:dyDescent="0.3">
      <c r="B20" s="3" t="s">
        <v>251</v>
      </c>
      <c r="C20" s="3"/>
      <c r="D20" s="3"/>
      <c r="E20" s="3"/>
      <c r="F20" s="3"/>
      <c r="G20" s="3"/>
    </row>
    <row r="21" spans="2:7" x14ac:dyDescent="0.3">
      <c r="B21" s="12" t="s">
        <v>252</v>
      </c>
      <c r="C21" s="33">
        <f>C15*'1. Assumptions'!$C$55</f>
        <v>0</v>
      </c>
      <c r="D21" s="33">
        <f>D15*'1. Assumptions'!$C$55</f>
        <v>0</v>
      </c>
      <c r="E21" s="33">
        <f>E15*'1. Assumptions'!$C$55</f>
        <v>250000</v>
      </c>
      <c r="F21" s="33">
        <f>F15*'1. Assumptions'!$C$55</f>
        <v>250000</v>
      </c>
      <c r="G21" s="33">
        <f>G15*'1. Assumptions'!$C$55</f>
        <v>250000</v>
      </c>
    </row>
    <row r="22" spans="2:7" x14ac:dyDescent="0.3">
      <c r="B22" s="12" t="s">
        <v>253</v>
      </c>
      <c r="C22" s="33">
        <f>C16*'1. Assumptions'!$C$56</f>
        <v>0</v>
      </c>
      <c r="D22" s="33">
        <f>D16*'1. Assumptions'!$C$56</f>
        <v>0</v>
      </c>
      <c r="E22" s="33">
        <f>E16*'1. Assumptions'!$C$56</f>
        <v>300000</v>
      </c>
      <c r="F22" s="33">
        <f>F16*'1. Assumptions'!$C$56</f>
        <v>500000</v>
      </c>
      <c r="G22" s="33">
        <f>G16*'1. Assumptions'!$C$56</f>
        <v>700000</v>
      </c>
    </row>
    <row r="23" spans="2:7" x14ac:dyDescent="0.3">
      <c r="B23" s="12" t="s">
        <v>254</v>
      </c>
      <c r="C23" s="33">
        <f>C17*'1. Assumptions'!$C$57</f>
        <v>0</v>
      </c>
      <c r="D23" s="33">
        <f>D17*'1. Assumptions'!$C$57</f>
        <v>0</v>
      </c>
      <c r="E23" s="33">
        <f>E17*'1. Assumptions'!$C$57</f>
        <v>250000</v>
      </c>
      <c r="F23" s="33">
        <f>F17*'1. Assumptions'!$C$57</f>
        <v>450000</v>
      </c>
      <c r="G23" s="33">
        <f>G17*'1. Assumptions'!$C$57</f>
        <v>550000</v>
      </c>
    </row>
    <row r="24" spans="2:7" x14ac:dyDescent="0.3">
      <c r="B24" s="12" t="s">
        <v>255</v>
      </c>
      <c r="C24" s="33">
        <f>C18*'1. Assumptions'!$C$58</f>
        <v>0</v>
      </c>
      <c r="D24" s="33">
        <f>D18*'1. Assumptions'!$C$58</f>
        <v>0</v>
      </c>
      <c r="E24" s="33">
        <f>E18*'1. Assumptions'!$C$58</f>
        <v>200000</v>
      </c>
      <c r="F24" s="33">
        <f>F18*'1. Assumptions'!$C$58</f>
        <v>350000</v>
      </c>
      <c r="G24" s="33">
        <f>G18*'1. Assumptions'!$C$58</f>
        <v>450000</v>
      </c>
    </row>
    <row r="25" spans="2:7" x14ac:dyDescent="0.3">
      <c r="B25" s="30" t="s">
        <v>256</v>
      </c>
      <c r="C25" s="31">
        <f>SUM(C21:C24)</f>
        <v>0</v>
      </c>
      <c r="D25" s="31">
        <f>SUM(D21:D24)</f>
        <v>0</v>
      </c>
      <c r="E25" s="31">
        <f>SUM(E21:E24)</f>
        <v>1000000</v>
      </c>
      <c r="F25" s="31">
        <f>SUM(F21:F24)</f>
        <v>1550000</v>
      </c>
      <c r="G25" s="31">
        <f>SUM(G21:G24)</f>
        <v>1950000</v>
      </c>
    </row>
    <row r="27" spans="2:7" x14ac:dyDescent="0.3">
      <c r="B27" s="3" t="s">
        <v>257</v>
      </c>
      <c r="C27" s="3"/>
      <c r="D27" s="3"/>
      <c r="E27" s="3"/>
      <c r="F27" s="3"/>
      <c r="G27" s="3"/>
    </row>
    <row r="28" spans="2:7" x14ac:dyDescent="0.3">
      <c r="B28" s="12" t="s">
        <v>258</v>
      </c>
      <c r="C28" s="33">
        <f>C8*'1. Assumptions'!$C$64*'1. Assumptions'!$C$59</f>
        <v>0</v>
      </c>
      <c r="D28" s="33">
        <f>D8*'1. Assumptions'!$C$64*'1. Assumptions'!$C$59</f>
        <v>0</v>
      </c>
      <c r="E28" s="33">
        <f>E8*'1. Assumptions'!$C$64*'1. Assumptions'!$C$59</f>
        <v>225000</v>
      </c>
      <c r="F28" s="33">
        <f>F8*'1. Assumptions'!$C$64*'1. Assumptions'!$C$59</f>
        <v>450000</v>
      </c>
      <c r="G28" s="33">
        <f>G8*'1. Assumptions'!$C$64*'1. Assumptions'!$C$59</f>
        <v>675000</v>
      </c>
    </row>
    <row r="29" spans="2:7" x14ac:dyDescent="0.3">
      <c r="B29" s="12" t="s">
        <v>259</v>
      </c>
      <c r="C29" s="33">
        <f>C9*'1. Assumptions'!$C$65*'1. Assumptions'!$C$60</f>
        <v>0</v>
      </c>
      <c r="D29" s="33">
        <f>D9*'1. Assumptions'!$C$65*'1. Assumptions'!$C$60</f>
        <v>0</v>
      </c>
      <c r="E29" s="33">
        <f>E9*'1. Assumptions'!$C$65*'1. Assumptions'!$C$60</f>
        <v>324000</v>
      </c>
      <c r="F29" s="33">
        <f>F9*'1. Assumptions'!$C$65*'1. Assumptions'!$C$60</f>
        <v>864000</v>
      </c>
      <c r="G29" s="33">
        <f>G9*'1. Assumptions'!$C$65*'1. Assumptions'!$C$60</f>
        <v>1620000</v>
      </c>
    </row>
    <row r="30" spans="2:7" x14ac:dyDescent="0.3">
      <c r="B30" s="12" t="s">
        <v>260</v>
      </c>
      <c r="C30" s="33">
        <f>C10*'1. Assumptions'!$C$66*'1. Assumptions'!$C$61</f>
        <v>0</v>
      </c>
      <c r="D30" s="33">
        <f>D10*'1. Assumptions'!$C$66*'1. Assumptions'!$C$61</f>
        <v>0</v>
      </c>
      <c r="E30" s="33">
        <f>E10*'1. Assumptions'!$C$66*'1. Assumptions'!$C$61</f>
        <v>252000.00000000003</v>
      </c>
      <c r="F30" s="33">
        <f>F10*'1. Assumptions'!$C$66*'1. Assumptions'!$C$61</f>
        <v>705600.00000000012</v>
      </c>
      <c r="G30" s="33">
        <f>G10*'1. Assumptions'!$C$66*'1. Assumptions'!$C$61</f>
        <v>1260000.0000000002</v>
      </c>
    </row>
    <row r="31" spans="2:7" x14ac:dyDescent="0.3">
      <c r="B31" s="12" t="s">
        <v>261</v>
      </c>
      <c r="C31" s="33">
        <f>C11*'1. Assumptions'!$C$67*'1. Assumptions'!$C$62</f>
        <v>0</v>
      </c>
      <c r="D31" s="33">
        <f>D11*'1. Assumptions'!$C$67*'1. Assumptions'!$C$62</f>
        <v>0</v>
      </c>
      <c r="E31" s="33">
        <f>E11*'1. Assumptions'!$C$67*'1. Assumptions'!$C$62</f>
        <v>230400</v>
      </c>
      <c r="F31" s="33">
        <f>F11*'1. Assumptions'!$C$67*'1. Assumptions'!$C$62</f>
        <v>633600</v>
      </c>
      <c r="G31" s="33">
        <f>G11*'1. Assumptions'!$C$67*'1. Assumptions'!$C$62</f>
        <v>1152000</v>
      </c>
    </row>
    <row r="32" spans="2:7" x14ac:dyDescent="0.3">
      <c r="B32" s="30" t="s">
        <v>262</v>
      </c>
      <c r="C32" s="31">
        <f>SUM(C28:C31)</f>
        <v>0</v>
      </c>
      <c r="D32" s="31">
        <f>SUM(D28:D31)</f>
        <v>0</v>
      </c>
      <c r="E32" s="31">
        <f>SUM(E28:E31)</f>
        <v>1031400</v>
      </c>
      <c r="F32" s="31">
        <f>SUM(F28:F31)</f>
        <v>2653200</v>
      </c>
      <c r="G32" s="31">
        <f>SUM(G28:G31)</f>
        <v>4707000</v>
      </c>
    </row>
    <row r="34" spans="2:7" x14ac:dyDescent="0.3">
      <c r="B34" s="13" t="s">
        <v>263</v>
      </c>
      <c r="C34" s="33">
        <f>(C8*'1. Assumptions'!$C$64+C9*'1. Assumptions'!$C$65+C10*'1. Assumptions'!$C$66+C11*'1. Assumptions'!$C$67)*'1. Assumptions'!$C$63</f>
        <v>0</v>
      </c>
      <c r="D34" s="33">
        <f>(D8*'1. Assumptions'!$C$64+D9*'1. Assumptions'!$C$65+D10*'1. Assumptions'!$C$66+D11*'1. Assumptions'!$C$67)*'1. Assumptions'!$C$63</f>
        <v>0</v>
      </c>
      <c r="E34" s="33">
        <f>(E8*'1. Assumptions'!$C$64+E9*'1. Assumptions'!$C$65+E10*'1. Assumptions'!$C$66+E11*'1. Assumptions'!$C$67)*'1. Assumptions'!$C$63</f>
        <v>163800</v>
      </c>
      <c r="F34" s="33">
        <f>(F8*'1. Assumptions'!$C$64+F9*'1. Assumptions'!$C$65+F10*'1. Assumptions'!$C$66+F11*'1. Assumptions'!$C$67)*'1. Assumptions'!$C$63</f>
        <v>414000</v>
      </c>
      <c r="G34" s="33">
        <f>(G8*'1. Assumptions'!$C$64+G9*'1. Assumptions'!$C$65+G10*'1. Assumptions'!$C$66+G11*'1. Assumptions'!$C$67)*'1. Assumptions'!$C$63</f>
        <v>729000</v>
      </c>
    </row>
    <row r="36" spans="2:7" x14ac:dyDescent="0.3">
      <c r="B36" s="30" t="s">
        <v>264</v>
      </c>
      <c r="C36" s="31">
        <f>C25+C32</f>
        <v>0</v>
      </c>
      <c r="D36" s="31">
        <f>D25+D32</f>
        <v>0</v>
      </c>
      <c r="E36" s="31">
        <f>E25+E32</f>
        <v>2031400</v>
      </c>
      <c r="F36" s="31">
        <f>F25+F32</f>
        <v>4203200</v>
      </c>
      <c r="G36" s="31">
        <f>G25+G32</f>
        <v>6657000</v>
      </c>
    </row>
    <row r="38" spans="2:7" x14ac:dyDescent="0.3">
      <c r="B38" s="3" t="s">
        <v>265</v>
      </c>
      <c r="C38" s="3"/>
      <c r="D38" s="3"/>
      <c r="E38" s="3"/>
      <c r="F38" s="3"/>
      <c r="G38" s="3"/>
    </row>
    <row r="39" spans="2:7" x14ac:dyDescent="0.3">
      <c r="B39" s="12" t="s">
        <v>266</v>
      </c>
      <c r="C39" s="33">
        <f>IF(C12&gt;0,-540000,-180000)</f>
        <v>-180000</v>
      </c>
      <c r="D39" s="33">
        <f>IF(D12&gt;0,-540000,-180000)</f>
        <v>-180000</v>
      </c>
      <c r="E39" s="33">
        <f>IF(E12&gt;0,-540000,-180000)</f>
        <v>-540000</v>
      </c>
      <c r="F39" s="33">
        <f>IF(F12&gt;0,-540000,-180000)</f>
        <v>-540000</v>
      </c>
      <c r="G39" s="33">
        <f>IF(G12&gt;0,-540000,-180000)</f>
        <v>-540000</v>
      </c>
    </row>
    <row r="40" spans="2:7" x14ac:dyDescent="0.3">
      <c r="B40" s="12" t="s">
        <v>267</v>
      </c>
      <c r="C40" s="33">
        <f>-MAX(120000,C12*8000)</f>
        <v>-120000</v>
      </c>
      <c r="D40" s="33">
        <f>-MAX(120000,D12*8000)</f>
        <v>-120000</v>
      </c>
      <c r="E40" s="33">
        <f>-MAX(120000,E12*8000)</f>
        <v>-136000</v>
      </c>
      <c r="F40" s="33">
        <f>-MAX(120000,F12*8000)</f>
        <v>-368000</v>
      </c>
      <c r="G40" s="33">
        <f>-MAX(120000,G12*8000)</f>
        <v>-664000</v>
      </c>
    </row>
    <row r="41" spans="2:7" x14ac:dyDescent="0.3">
      <c r="B41" s="12" t="s">
        <v>268</v>
      </c>
      <c r="C41" s="26">
        <v>-300000</v>
      </c>
      <c r="D41" s="26">
        <v>-200000</v>
      </c>
      <c r="E41" s="26">
        <v>-120000</v>
      </c>
      <c r="F41" s="26">
        <v>-100000</v>
      </c>
      <c r="G41" s="26">
        <v>-100000</v>
      </c>
    </row>
    <row r="42" spans="2:7" x14ac:dyDescent="0.3">
      <c r="B42" s="30" t="s">
        <v>269</v>
      </c>
      <c r="C42" s="31">
        <f>SUM(C39:C41)</f>
        <v>-600000</v>
      </c>
      <c r="D42" s="31">
        <f>SUM(D39:D41)</f>
        <v>-500000</v>
      </c>
      <c r="E42" s="31">
        <f>SUM(E39:E41)</f>
        <v>-796000</v>
      </c>
      <c r="F42" s="31">
        <f>SUM(F39:F41)</f>
        <v>-1008000</v>
      </c>
      <c r="G42" s="31">
        <f>SUM(G39:G41)</f>
        <v>-1304000</v>
      </c>
    </row>
    <row r="44" spans="2:7" x14ac:dyDescent="0.3">
      <c r="B44" s="30" t="s">
        <v>270</v>
      </c>
      <c r="C44" s="31">
        <f>C36+C42</f>
        <v>-600000</v>
      </c>
      <c r="D44" s="31">
        <f>D36+D42</f>
        <v>-500000</v>
      </c>
      <c r="E44" s="31">
        <f>E36+E42</f>
        <v>1235400</v>
      </c>
      <c r="F44" s="31">
        <f>F36+F42</f>
        <v>3195200</v>
      </c>
      <c r="G44" s="31">
        <f>G36+G42</f>
        <v>5353000</v>
      </c>
    </row>
    <row r="46" spans="2:7" ht="49.5" customHeight="1" x14ac:dyDescent="0.3">
      <c r="B46" s="1" t="s">
        <v>271</v>
      </c>
      <c r="C46" s="1"/>
      <c r="D46" s="1"/>
      <c r="E46" s="1"/>
      <c r="F46" s="1"/>
      <c r="G46" s="1"/>
    </row>
  </sheetData>
  <mergeCells count="6">
    <mergeCell ref="B46:G46"/>
    <mergeCell ref="B7:G7"/>
    <mergeCell ref="B14:G14"/>
    <mergeCell ref="B20:G20"/>
    <mergeCell ref="B27:G27"/>
    <mergeCell ref="B38:G38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H31"/>
  <sheetViews>
    <sheetView tabSelected="1" zoomScaleNormal="100" workbookViewId="0"/>
  </sheetViews>
  <sheetFormatPr defaultColWidth="8.6640625" defaultRowHeight="14.4" x14ac:dyDescent="0.3"/>
  <cols>
    <col min="1" max="1" width="3" customWidth="1"/>
    <col min="2" max="2" width="38" customWidth="1"/>
    <col min="3" max="3" width="16.109375" bestFit="1" customWidth="1"/>
    <col min="4" max="7" width="14" customWidth="1"/>
    <col min="8" max="8" width="35" customWidth="1"/>
  </cols>
  <sheetData>
    <row r="2" spans="2:8" ht="22.8" x14ac:dyDescent="0.4">
      <c r="B2" s="19" t="s">
        <v>272</v>
      </c>
    </row>
    <row r="3" spans="2:8" x14ac:dyDescent="0.3">
      <c r="B3" s="20" t="s">
        <v>273</v>
      </c>
    </row>
    <row r="5" spans="2:8" x14ac:dyDescent="0.3">
      <c r="B5" s="10" t="s">
        <v>274</v>
      </c>
      <c r="C5" s="27" t="s">
        <v>168</v>
      </c>
      <c r="D5" s="27" t="s">
        <v>169</v>
      </c>
      <c r="E5" s="27" t="s">
        <v>170</v>
      </c>
      <c r="F5" s="27" t="s">
        <v>171</v>
      </c>
      <c r="G5" s="27" t="s">
        <v>172</v>
      </c>
      <c r="H5" s="10" t="s">
        <v>275</v>
      </c>
    </row>
    <row r="7" spans="2:8" x14ac:dyDescent="0.3">
      <c r="B7" s="3" t="s">
        <v>276</v>
      </c>
      <c r="C7" s="3"/>
      <c r="D7" s="3"/>
      <c r="E7" s="3"/>
      <c r="F7" s="3"/>
      <c r="G7" s="3"/>
      <c r="H7" s="3"/>
    </row>
    <row r="8" spans="2:8" x14ac:dyDescent="0.3">
      <c r="B8" s="12" t="s">
        <v>277</v>
      </c>
      <c r="C8" s="26">
        <v>280000</v>
      </c>
      <c r="D8" s="26">
        <v>0</v>
      </c>
      <c r="E8" s="26">
        <v>0</v>
      </c>
      <c r="F8" s="26">
        <v>0</v>
      </c>
      <c r="G8" s="26">
        <v>0</v>
      </c>
      <c r="H8" s="13" t="s">
        <v>278</v>
      </c>
    </row>
    <row r="9" spans="2:8" x14ac:dyDescent="0.3">
      <c r="B9" s="12" t="s">
        <v>279</v>
      </c>
      <c r="C9" s="26">
        <v>280000</v>
      </c>
      <c r="D9" s="26">
        <v>0</v>
      </c>
      <c r="E9" s="26">
        <v>0</v>
      </c>
      <c r="F9" s="26">
        <v>0</v>
      </c>
      <c r="G9" s="26">
        <v>0</v>
      </c>
      <c r="H9" s="13" t="s">
        <v>280</v>
      </c>
    </row>
    <row r="10" spans="2:8" x14ac:dyDescent="0.3">
      <c r="B10" s="12" t="s">
        <v>281</v>
      </c>
      <c r="C10" s="26">
        <v>170000</v>
      </c>
      <c r="D10" s="26">
        <v>0</v>
      </c>
      <c r="E10" s="26">
        <v>0</v>
      </c>
      <c r="F10" s="26">
        <v>0</v>
      </c>
      <c r="G10" s="26">
        <v>0</v>
      </c>
      <c r="H10" s="13" t="s">
        <v>282</v>
      </c>
    </row>
    <row r="11" spans="2:8" x14ac:dyDescent="0.3">
      <c r="B11" s="12" t="s">
        <v>283</v>
      </c>
      <c r="C11" s="26">
        <v>180000</v>
      </c>
      <c r="D11" s="26">
        <v>0</v>
      </c>
      <c r="E11" s="26">
        <v>0</v>
      </c>
      <c r="F11" s="26">
        <v>0</v>
      </c>
      <c r="G11" s="26">
        <v>0</v>
      </c>
      <c r="H11" s="13" t="s">
        <v>284</v>
      </c>
    </row>
    <row r="12" spans="2:8" x14ac:dyDescent="0.3">
      <c r="B12" s="12" t="s">
        <v>285</v>
      </c>
      <c r="C12" s="26">
        <v>320000</v>
      </c>
      <c r="D12" s="26">
        <v>0</v>
      </c>
      <c r="E12" s="26">
        <v>0</v>
      </c>
      <c r="F12" s="26">
        <v>0</v>
      </c>
      <c r="G12" s="26">
        <v>0</v>
      </c>
      <c r="H12" s="13" t="s">
        <v>286</v>
      </c>
    </row>
    <row r="13" spans="2:8" x14ac:dyDescent="0.3">
      <c r="B13" s="12" t="s">
        <v>287</v>
      </c>
      <c r="C13" s="26">
        <v>110000</v>
      </c>
      <c r="D13" s="26">
        <v>0</v>
      </c>
      <c r="E13" s="26">
        <v>0</v>
      </c>
      <c r="F13" s="26">
        <v>0</v>
      </c>
      <c r="G13" s="26">
        <v>0</v>
      </c>
      <c r="H13" s="13" t="s">
        <v>288</v>
      </c>
    </row>
    <row r="14" spans="2:8" x14ac:dyDescent="0.3">
      <c r="B14" s="12" t="s">
        <v>289</v>
      </c>
      <c r="C14" s="26">
        <v>90000</v>
      </c>
      <c r="D14" s="26">
        <v>0</v>
      </c>
      <c r="E14" s="26">
        <v>0</v>
      </c>
      <c r="F14" s="26">
        <v>0</v>
      </c>
      <c r="G14" s="26">
        <v>0</v>
      </c>
      <c r="H14" s="13" t="s">
        <v>290</v>
      </c>
    </row>
    <row r="15" spans="2:8" x14ac:dyDescent="0.3">
      <c r="B15" s="12" t="s">
        <v>291</v>
      </c>
      <c r="C15" s="26">
        <v>130000</v>
      </c>
      <c r="D15" s="26">
        <v>0</v>
      </c>
      <c r="E15" s="26">
        <v>0</v>
      </c>
      <c r="F15" s="26">
        <v>0</v>
      </c>
      <c r="G15" s="26">
        <v>0</v>
      </c>
      <c r="H15" s="13" t="s">
        <v>292</v>
      </c>
    </row>
    <row r="16" spans="2:8" x14ac:dyDescent="0.3">
      <c r="B16" s="30" t="s">
        <v>293</v>
      </c>
      <c r="C16" s="31">
        <f>SUM(C8:C15)</f>
        <v>1560000</v>
      </c>
      <c r="D16" s="31">
        <f>SUM(D8:D15)</f>
        <v>0</v>
      </c>
      <c r="E16" s="31">
        <f>SUM(E8:E15)</f>
        <v>0</v>
      </c>
      <c r="F16" s="31">
        <f>SUM(F8:F15)</f>
        <v>0</v>
      </c>
      <c r="G16" s="31">
        <f>SUM(G8:G15)</f>
        <v>0</v>
      </c>
    </row>
    <row r="18" spans="2:8" x14ac:dyDescent="0.3">
      <c r="B18" s="3" t="s">
        <v>294</v>
      </c>
      <c r="C18" s="3"/>
      <c r="D18" s="3"/>
      <c r="E18" s="3"/>
      <c r="F18" s="3"/>
      <c r="G18" s="3"/>
      <c r="H18" s="3"/>
    </row>
    <row r="19" spans="2:8" x14ac:dyDescent="0.3">
      <c r="B19" s="12" t="s">
        <v>295</v>
      </c>
      <c r="C19" s="26">
        <v>40000</v>
      </c>
      <c r="D19" s="26">
        <v>60000</v>
      </c>
      <c r="E19" s="26">
        <v>90000</v>
      </c>
      <c r="F19" s="26">
        <v>120000</v>
      </c>
      <c r="G19" s="26">
        <v>150000</v>
      </c>
      <c r="H19" s="13" t="s">
        <v>296</v>
      </c>
    </row>
    <row r="20" spans="2:8" x14ac:dyDescent="0.3">
      <c r="B20" s="12" t="s">
        <v>297</v>
      </c>
      <c r="C20" s="26">
        <v>120000</v>
      </c>
      <c r="D20" s="26">
        <v>144000</v>
      </c>
      <c r="E20" s="26">
        <v>156000</v>
      </c>
      <c r="F20" s="26">
        <v>168000</v>
      </c>
      <c r="G20" s="26">
        <v>180000</v>
      </c>
      <c r="H20" s="13" t="s">
        <v>298</v>
      </c>
    </row>
    <row r="21" spans="2:8" x14ac:dyDescent="0.3">
      <c r="B21" s="12" t="s">
        <v>299</v>
      </c>
      <c r="C21" s="26">
        <v>40000</v>
      </c>
      <c r="D21" s="26">
        <v>48000</v>
      </c>
      <c r="E21" s="26">
        <v>60000</v>
      </c>
      <c r="F21" s="26">
        <v>72000</v>
      </c>
      <c r="G21" s="26">
        <v>84000</v>
      </c>
      <c r="H21" s="13" t="s">
        <v>300</v>
      </c>
    </row>
    <row r="22" spans="2:8" x14ac:dyDescent="0.3">
      <c r="B22" s="12" t="s">
        <v>301</v>
      </c>
      <c r="C22" s="26">
        <v>60000</v>
      </c>
      <c r="D22" s="26">
        <v>120000</v>
      </c>
      <c r="E22" s="26">
        <v>144000</v>
      </c>
      <c r="F22" s="26">
        <v>180000</v>
      </c>
      <c r="G22" s="26">
        <v>216000</v>
      </c>
      <c r="H22" s="13" t="s">
        <v>302</v>
      </c>
    </row>
    <row r="23" spans="2:8" x14ac:dyDescent="0.3">
      <c r="B23" s="12" t="s">
        <v>303</v>
      </c>
      <c r="C23" s="26">
        <v>60000</v>
      </c>
      <c r="D23" s="26">
        <v>96000</v>
      </c>
      <c r="E23" s="26">
        <v>120000</v>
      </c>
      <c r="F23" s="26">
        <v>144000</v>
      </c>
      <c r="G23" s="26">
        <v>168000</v>
      </c>
      <c r="H23" s="13" t="s">
        <v>304</v>
      </c>
    </row>
    <row r="24" spans="2:8" x14ac:dyDescent="0.3">
      <c r="B24" s="30" t="s">
        <v>305</v>
      </c>
      <c r="C24" s="31">
        <f>SUM(C19:C23)</f>
        <v>320000</v>
      </c>
      <c r="D24" s="31">
        <f>SUM(D19:D23)</f>
        <v>468000</v>
      </c>
      <c r="E24" s="31">
        <f>SUM(E19:E23)</f>
        <v>570000</v>
      </c>
      <c r="F24" s="31">
        <f>SUM(F19:F23)</f>
        <v>684000</v>
      </c>
      <c r="G24" s="31">
        <f>SUM(G19:G23)</f>
        <v>798000</v>
      </c>
    </row>
    <row r="26" spans="2:8" x14ac:dyDescent="0.3">
      <c r="B26" s="30" t="s">
        <v>306</v>
      </c>
      <c r="C26" s="31">
        <f>C16+C24</f>
        <v>1880000</v>
      </c>
      <c r="D26" s="31">
        <f>D16+D24</f>
        <v>468000</v>
      </c>
      <c r="E26" s="31">
        <f>E16+E24</f>
        <v>570000</v>
      </c>
      <c r="F26" s="31">
        <f>F16+F24</f>
        <v>684000</v>
      </c>
      <c r="G26" s="31">
        <f>G16+G24</f>
        <v>798000</v>
      </c>
    </row>
    <row r="27" spans="2:8" ht="15.6" x14ac:dyDescent="0.3">
      <c r="B27" s="11" t="s">
        <v>307</v>
      </c>
      <c r="C27" s="38">
        <f>SUM(C26:G26)</f>
        <v>4400000</v>
      </c>
    </row>
    <row r="29" spans="2:8" ht="26.4" x14ac:dyDescent="0.3">
      <c r="B29" s="13" t="s">
        <v>308</v>
      </c>
      <c r="C29" s="33">
        <f>C26/0.7</f>
        <v>2685714.2857142859</v>
      </c>
      <c r="D29" s="33">
        <f>D26/0.7</f>
        <v>668571.42857142864</v>
      </c>
      <c r="E29" s="33">
        <f>E26/0.7</f>
        <v>814285.71428571432</v>
      </c>
      <c r="F29" s="33">
        <f>F26/0.7</f>
        <v>977142.85714285716</v>
      </c>
      <c r="G29" s="33">
        <f>G26/0.7</f>
        <v>1140000</v>
      </c>
    </row>
    <row r="31" spans="2:8" ht="30" customHeight="1" x14ac:dyDescent="0.3">
      <c r="B31" s="1" t="s">
        <v>309</v>
      </c>
      <c r="C31" s="1"/>
      <c r="D31" s="1"/>
      <c r="E31" s="1"/>
      <c r="F31" s="1"/>
      <c r="G31" s="1"/>
      <c r="H31" s="1"/>
    </row>
  </sheetData>
  <mergeCells count="3">
    <mergeCell ref="B7:H7"/>
    <mergeCell ref="B18:H18"/>
    <mergeCell ref="B31:H31"/>
  </mergeCell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H24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38" customWidth="1"/>
    <col min="3" max="7" width="14" customWidth="1"/>
    <col min="8" max="8" width="35" customWidth="1"/>
  </cols>
  <sheetData>
    <row r="2" spans="2:8" ht="22.8" x14ac:dyDescent="0.4">
      <c r="B2" s="19" t="s">
        <v>310</v>
      </c>
    </row>
    <row r="3" spans="2:8" x14ac:dyDescent="0.3">
      <c r="B3" s="20" t="s">
        <v>311</v>
      </c>
    </row>
    <row r="5" spans="2:8" x14ac:dyDescent="0.3">
      <c r="B5" s="10" t="s">
        <v>312</v>
      </c>
      <c r="C5" s="27" t="s">
        <v>168</v>
      </c>
      <c r="D5" s="27" t="s">
        <v>169</v>
      </c>
      <c r="E5" s="27" t="s">
        <v>170</v>
      </c>
      <c r="F5" s="27" t="s">
        <v>171</v>
      </c>
      <c r="G5" s="27" t="s">
        <v>172</v>
      </c>
      <c r="H5" s="10" t="s">
        <v>275</v>
      </c>
    </row>
    <row r="7" spans="2:8" x14ac:dyDescent="0.3">
      <c r="B7" s="3" t="s">
        <v>313</v>
      </c>
      <c r="C7" s="3"/>
      <c r="D7" s="3"/>
      <c r="E7" s="3"/>
      <c r="F7" s="3"/>
      <c r="G7" s="3"/>
      <c r="H7" s="3"/>
    </row>
    <row r="8" spans="2:8" x14ac:dyDescent="0.3">
      <c r="B8" s="12" t="s">
        <v>314</v>
      </c>
      <c r="C8" s="26">
        <v>180000</v>
      </c>
      <c r="D8" s="26">
        <v>216000</v>
      </c>
      <c r="E8" s="26">
        <v>240000</v>
      </c>
      <c r="F8" s="26">
        <v>264000</v>
      </c>
      <c r="G8" s="26">
        <v>288000</v>
      </c>
      <c r="H8" s="13" t="s">
        <v>315</v>
      </c>
    </row>
    <row r="9" spans="2:8" x14ac:dyDescent="0.3">
      <c r="B9" s="12" t="s">
        <v>316</v>
      </c>
      <c r="C9" s="26">
        <v>150000</v>
      </c>
      <c r="D9" s="26">
        <v>180000</v>
      </c>
      <c r="E9" s="26">
        <v>200000</v>
      </c>
      <c r="F9" s="26">
        <v>220000</v>
      </c>
      <c r="G9" s="26">
        <v>240000</v>
      </c>
      <c r="H9" s="13" t="s">
        <v>317</v>
      </c>
    </row>
    <row r="10" spans="2:8" x14ac:dyDescent="0.3">
      <c r="B10" s="12" t="s">
        <v>318</v>
      </c>
      <c r="C10" s="26">
        <v>120000</v>
      </c>
      <c r="D10" s="26">
        <v>168000</v>
      </c>
      <c r="E10" s="26">
        <v>216000</v>
      </c>
      <c r="F10" s="26">
        <v>264000</v>
      </c>
      <c r="G10" s="26">
        <v>312000</v>
      </c>
      <c r="H10" s="13" t="s">
        <v>319</v>
      </c>
    </row>
    <row r="11" spans="2:8" x14ac:dyDescent="0.3">
      <c r="B11" s="12" t="s">
        <v>320</v>
      </c>
      <c r="C11" s="26">
        <v>60000</v>
      </c>
      <c r="D11" s="26">
        <v>84000</v>
      </c>
      <c r="E11" s="26">
        <v>108000</v>
      </c>
      <c r="F11" s="26">
        <v>132000</v>
      </c>
      <c r="G11" s="26">
        <v>156000</v>
      </c>
      <c r="H11" s="13" t="s">
        <v>321</v>
      </c>
    </row>
    <row r="12" spans="2:8" x14ac:dyDescent="0.3">
      <c r="B12" s="30" t="s">
        <v>322</v>
      </c>
      <c r="C12" s="31">
        <f>SUM(C8:C11)</f>
        <v>510000</v>
      </c>
      <c r="D12" s="31">
        <f>SUM(D8:D11)</f>
        <v>648000</v>
      </c>
      <c r="E12" s="31">
        <f>SUM(E8:E11)</f>
        <v>764000</v>
      </c>
      <c r="F12" s="31">
        <f>SUM(F8:F11)</f>
        <v>880000</v>
      </c>
      <c r="G12" s="31">
        <f>SUM(G8:G11)</f>
        <v>996000</v>
      </c>
    </row>
    <row r="14" spans="2:8" x14ac:dyDescent="0.3">
      <c r="B14" s="3" t="s">
        <v>323</v>
      </c>
      <c r="C14" s="3"/>
      <c r="D14" s="3"/>
      <c r="E14" s="3"/>
      <c r="F14" s="3"/>
      <c r="G14" s="3"/>
      <c r="H14" s="3"/>
    </row>
    <row r="15" spans="2:8" x14ac:dyDescent="0.3">
      <c r="B15" s="12" t="s">
        <v>324</v>
      </c>
      <c r="C15" s="26">
        <v>120000</v>
      </c>
      <c r="D15" s="26">
        <v>132000</v>
      </c>
      <c r="E15" s="26">
        <v>144000</v>
      </c>
      <c r="F15" s="26">
        <v>156000</v>
      </c>
      <c r="G15" s="26">
        <v>168000</v>
      </c>
      <c r="H15" s="13" t="s">
        <v>325</v>
      </c>
    </row>
    <row r="16" spans="2:8" x14ac:dyDescent="0.3">
      <c r="B16" s="12" t="s">
        <v>326</v>
      </c>
      <c r="C16" s="26">
        <v>120000</v>
      </c>
      <c r="D16" s="26">
        <v>132000</v>
      </c>
      <c r="E16" s="26">
        <v>144000</v>
      </c>
      <c r="F16" s="26">
        <v>156000</v>
      </c>
      <c r="G16" s="26">
        <v>168000</v>
      </c>
      <c r="H16" s="13" t="s">
        <v>325</v>
      </c>
    </row>
    <row r="17" spans="2:8" x14ac:dyDescent="0.3">
      <c r="B17" s="12" t="s">
        <v>327</v>
      </c>
      <c r="C17" s="26">
        <v>144000</v>
      </c>
      <c r="D17" s="26">
        <v>168000</v>
      </c>
      <c r="E17" s="26">
        <v>180000</v>
      </c>
      <c r="F17" s="26">
        <v>192000</v>
      </c>
      <c r="G17" s="26">
        <v>204000</v>
      </c>
      <c r="H17" s="13" t="s">
        <v>328</v>
      </c>
    </row>
    <row r="18" spans="2:8" x14ac:dyDescent="0.3">
      <c r="B18" s="12" t="s">
        <v>329</v>
      </c>
      <c r="C18" s="26">
        <v>0</v>
      </c>
      <c r="D18" s="26">
        <v>60000</v>
      </c>
      <c r="E18" s="26">
        <v>72000</v>
      </c>
      <c r="F18" s="26">
        <v>78000</v>
      </c>
      <c r="G18" s="26">
        <v>84000</v>
      </c>
      <c r="H18" s="13" t="s">
        <v>330</v>
      </c>
    </row>
    <row r="19" spans="2:8" x14ac:dyDescent="0.3">
      <c r="B19" s="30" t="s">
        <v>331</v>
      </c>
      <c r="C19" s="31">
        <f>SUM(C15:C18)</f>
        <v>384000</v>
      </c>
      <c r="D19" s="31">
        <f>SUM(D15:D18)</f>
        <v>492000</v>
      </c>
      <c r="E19" s="31">
        <f>SUM(E15:E18)</f>
        <v>540000</v>
      </c>
      <c r="F19" s="31">
        <f>SUM(F15:F18)</f>
        <v>582000</v>
      </c>
      <c r="G19" s="31">
        <f>SUM(G15:G18)</f>
        <v>624000</v>
      </c>
    </row>
    <row r="21" spans="2:8" x14ac:dyDescent="0.3">
      <c r="B21" s="30" t="s">
        <v>332</v>
      </c>
      <c r="C21" s="31">
        <f>C12+C19</f>
        <v>894000</v>
      </c>
      <c r="D21" s="31">
        <f>D12+D19</f>
        <v>1140000</v>
      </c>
      <c r="E21" s="31">
        <f>E12+E19</f>
        <v>1304000</v>
      </c>
      <c r="F21" s="31">
        <f>F12+F19</f>
        <v>1462000</v>
      </c>
      <c r="G21" s="31">
        <f>G12+G19</f>
        <v>1620000</v>
      </c>
    </row>
    <row r="22" spans="2:8" ht="26.4" x14ac:dyDescent="0.3">
      <c r="B22" s="11" t="s">
        <v>333</v>
      </c>
      <c r="C22" s="38">
        <f>SUM(C21:G21)</f>
        <v>6420000</v>
      </c>
    </row>
    <row r="24" spans="2:8" ht="34.5" customHeight="1" x14ac:dyDescent="0.3">
      <c r="B24" s="1" t="s">
        <v>334</v>
      </c>
      <c r="C24" s="1"/>
      <c r="D24" s="1"/>
      <c r="E24" s="1"/>
      <c r="F24" s="1"/>
      <c r="G24" s="1"/>
      <c r="H24" s="1"/>
    </row>
  </sheetData>
  <mergeCells count="3">
    <mergeCell ref="B7:H7"/>
    <mergeCell ref="B14:H14"/>
    <mergeCell ref="B24:H24"/>
  </mergeCells>
  <pageMargins left="0.75" right="0.75" top="1" bottom="1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G38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45" customWidth="1"/>
    <col min="3" max="7" width="17" customWidth="1"/>
  </cols>
  <sheetData>
    <row r="2" spans="2:7" ht="22.8" x14ac:dyDescent="0.4">
      <c r="B2" s="19" t="s">
        <v>335</v>
      </c>
    </row>
    <row r="3" spans="2:7" x14ac:dyDescent="0.3">
      <c r="B3" s="20" t="s">
        <v>336</v>
      </c>
    </row>
    <row r="5" spans="2:7" x14ac:dyDescent="0.3">
      <c r="B5" s="27"/>
      <c r="C5" s="27" t="s">
        <v>168</v>
      </c>
      <c r="D5" s="27" t="s">
        <v>169</v>
      </c>
      <c r="E5" s="27" t="s">
        <v>170</v>
      </c>
      <c r="F5" s="27" t="s">
        <v>171</v>
      </c>
      <c r="G5" s="27" t="s">
        <v>172</v>
      </c>
    </row>
    <row r="7" spans="2:7" x14ac:dyDescent="0.3">
      <c r="B7" s="3" t="s">
        <v>337</v>
      </c>
      <c r="C7" s="3"/>
      <c r="D7" s="3"/>
      <c r="E7" s="3"/>
      <c r="F7" s="3"/>
      <c r="G7" s="3"/>
    </row>
    <row r="8" spans="2:7" x14ac:dyDescent="0.3">
      <c r="B8" s="12" t="s">
        <v>338</v>
      </c>
      <c r="C8" s="28">
        <f>'2. Dynamic Menu'!C12</f>
        <v>2835000</v>
      </c>
      <c r="D8" s="28">
        <f>'2. Dynamic Menu'!D12</f>
        <v>2430000</v>
      </c>
      <c r="E8" s="28">
        <f>'2. Dynamic Menu'!E12</f>
        <v>2025000</v>
      </c>
      <c r="F8" s="28">
        <f>'2. Dynamic Menu'!F12</f>
        <v>2025000</v>
      </c>
      <c r="G8" s="28">
        <f>'2. Dynamic Menu'!G12</f>
        <v>2025000</v>
      </c>
    </row>
    <row r="9" spans="2:7" x14ac:dyDescent="0.3">
      <c r="B9" s="12" t="s">
        <v>339</v>
      </c>
      <c r="C9" s="28">
        <f>'3. E-Catering'!C24</f>
        <v>2633280</v>
      </c>
      <c r="D9" s="28">
        <f>'3. E-Catering'!D24</f>
        <v>5595720</v>
      </c>
      <c r="E9" s="28">
        <f>'3. E-Catering'!E24</f>
        <v>6583200</v>
      </c>
      <c r="F9" s="28">
        <f>'3. E-Catering'!F24</f>
        <v>7241520</v>
      </c>
      <c r="G9" s="28">
        <f>'3. E-Catering'!G24</f>
        <v>7570680</v>
      </c>
    </row>
    <row r="10" spans="2:7" x14ac:dyDescent="0.3">
      <c r="B10" s="12" t="s">
        <v>340</v>
      </c>
      <c r="C10" s="28">
        <f>'4. Loyalty Club'!C25</f>
        <v>581095.62</v>
      </c>
      <c r="D10" s="28">
        <f>'4. Loyalty Club'!D25</f>
        <v>637330.68000000005</v>
      </c>
      <c r="E10" s="28">
        <f>'4. Loyalty Club'!E25</f>
        <v>674820.72</v>
      </c>
      <c r="F10" s="28">
        <f>'4. Loyalty Club'!F25</f>
        <v>702938.25</v>
      </c>
      <c r="G10" s="28">
        <f>'4. Loyalty Club'!G25</f>
        <v>731055.78</v>
      </c>
    </row>
    <row r="11" spans="2:7" x14ac:dyDescent="0.3">
      <c r="B11" s="12" t="s">
        <v>341</v>
      </c>
      <c r="C11" s="28">
        <f>'4. Loyalty Club'!C18</f>
        <v>4712868</v>
      </c>
      <c r="D11" s="28">
        <f>'4. Loyalty Club'!D18</f>
        <v>4783932</v>
      </c>
      <c r="E11" s="28">
        <f>'4. Loyalty Club'!E18</f>
        <v>5050728</v>
      </c>
      <c r="F11" s="28">
        <f>'4. Loyalty Club'!F18</f>
        <v>5253930</v>
      </c>
      <c r="G11" s="28">
        <f>'4. Loyalty Club'!G18</f>
        <v>5463342</v>
      </c>
    </row>
    <row r="12" spans="2:7" x14ac:dyDescent="0.3">
      <c r="B12" s="12" t="s">
        <v>342</v>
      </c>
      <c r="C12" s="28">
        <f>'5. Franchise'!C36</f>
        <v>0</v>
      </c>
      <c r="D12" s="28">
        <f>'5. Franchise'!D36</f>
        <v>0</v>
      </c>
      <c r="E12" s="28">
        <f>'5. Franchise'!E36</f>
        <v>2031400</v>
      </c>
      <c r="F12" s="28">
        <f>'5. Franchise'!F36</f>
        <v>4203200</v>
      </c>
      <c r="G12" s="28">
        <f>'5. Franchise'!G36</f>
        <v>6657000</v>
      </c>
    </row>
    <row r="13" spans="2:7" x14ac:dyDescent="0.3">
      <c r="B13" s="30" t="s">
        <v>343</v>
      </c>
      <c r="C13" s="31">
        <f>SUM(C8:C12)</f>
        <v>10762243.620000001</v>
      </c>
      <c r="D13" s="31">
        <f>SUM(D8:D12)</f>
        <v>13446982.68</v>
      </c>
      <c r="E13" s="31">
        <f>SUM(E8:E12)</f>
        <v>16365148.720000001</v>
      </c>
      <c r="F13" s="31">
        <f>SUM(F8:F12)</f>
        <v>19426588.25</v>
      </c>
      <c r="G13" s="31">
        <f>SUM(G8:G12)</f>
        <v>22447077.780000001</v>
      </c>
    </row>
    <row r="15" spans="2:7" x14ac:dyDescent="0.3">
      <c r="B15" s="3" t="s">
        <v>344</v>
      </c>
      <c r="C15" s="3"/>
      <c r="D15" s="3"/>
      <c r="E15" s="3"/>
      <c r="F15" s="3"/>
      <c r="G15" s="3"/>
    </row>
    <row r="16" spans="2:7" x14ac:dyDescent="0.3">
      <c r="B16" s="12" t="s">
        <v>345</v>
      </c>
      <c r="C16" s="28">
        <f>'2. Dynamic Menu'!C22+'2. Dynamic Menu'!C23</f>
        <v>-1048950</v>
      </c>
      <c r="D16" s="28">
        <f>'2. Dynamic Menu'!D22+'2. Dynamic Menu'!D23</f>
        <v>-899100</v>
      </c>
      <c r="E16" s="28">
        <f>'2. Dynamic Menu'!E22+'2. Dynamic Menu'!E23</f>
        <v>-749250</v>
      </c>
      <c r="F16" s="28">
        <f>'2. Dynamic Menu'!F22+'2. Dynamic Menu'!F23</f>
        <v>-749250</v>
      </c>
      <c r="G16" s="28">
        <f>'2. Dynamic Menu'!G22+'2. Dynamic Menu'!G23</f>
        <v>-749250</v>
      </c>
    </row>
    <row r="17" spans="2:7" x14ac:dyDescent="0.3">
      <c r="B17" s="12" t="s">
        <v>346</v>
      </c>
      <c r="C17" s="28">
        <f>'3. E-Catering'!C31</f>
        <v>-1630790.4</v>
      </c>
      <c r="D17" s="28">
        <f>'3. E-Catering'!D31</f>
        <v>-3303429.6</v>
      </c>
      <c r="E17" s="28">
        <f>'3. E-Catering'!E31</f>
        <v>-3860976</v>
      </c>
      <c r="F17" s="28">
        <f>'3. E-Catering'!F31</f>
        <v>-4232673.5999999996</v>
      </c>
      <c r="G17" s="28">
        <f>'3. E-Catering'!G31</f>
        <v>-4418522.4000000004</v>
      </c>
    </row>
    <row r="18" spans="2:7" x14ac:dyDescent="0.3">
      <c r="B18" s="12" t="s">
        <v>347</v>
      </c>
      <c r="C18" s="28">
        <f>'4. Loyalty Club'!C27</f>
        <v>-69731.474399999992</v>
      </c>
      <c r="D18" s="28">
        <f>'4. Loyalty Club'!D27</f>
        <v>-76479.681599999996</v>
      </c>
      <c r="E18" s="28">
        <f>'4. Loyalty Club'!E27</f>
        <v>-80978.486399999994</v>
      </c>
      <c r="F18" s="28">
        <f>'4. Loyalty Club'!F27</f>
        <v>-84352.59</v>
      </c>
      <c r="G18" s="28">
        <f>'4. Loyalty Club'!G27</f>
        <v>-87726.693599999999</v>
      </c>
    </row>
    <row r="19" spans="2:7" x14ac:dyDescent="0.3">
      <c r="B19" s="12" t="s">
        <v>348</v>
      </c>
      <c r="C19" s="28">
        <f>'5. Franchise'!C42</f>
        <v>-600000</v>
      </c>
      <c r="D19" s="28">
        <f>'5. Franchise'!D42</f>
        <v>-500000</v>
      </c>
      <c r="E19" s="28">
        <f>'5. Franchise'!E42</f>
        <v>-796000</v>
      </c>
      <c r="F19" s="28">
        <f>'5. Franchise'!F42</f>
        <v>-1008000</v>
      </c>
      <c r="G19" s="28">
        <f>'5. Franchise'!G42</f>
        <v>-1304000</v>
      </c>
    </row>
    <row r="20" spans="2:7" x14ac:dyDescent="0.3">
      <c r="B20" s="30" t="s">
        <v>349</v>
      </c>
      <c r="C20" s="31">
        <f>SUM(C16:C19)</f>
        <v>-3349471.8744000001</v>
      </c>
      <c r="D20" s="31">
        <f>SUM(D16:D19)</f>
        <v>-4779009.2815999994</v>
      </c>
      <c r="E20" s="31">
        <f>SUM(E16:E19)</f>
        <v>-5487204.4863999998</v>
      </c>
      <c r="F20" s="31">
        <f>SUM(F16:F19)</f>
        <v>-6074276.1899999995</v>
      </c>
      <c r="G20" s="31">
        <f>SUM(G16:G19)</f>
        <v>-6559499.0936000003</v>
      </c>
    </row>
    <row r="22" spans="2:7" x14ac:dyDescent="0.3">
      <c r="B22" s="30" t="s">
        <v>350</v>
      </c>
      <c r="C22" s="31">
        <f>C13+C20</f>
        <v>7412771.745600001</v>
      </c>
      <c r="D22" s="31">
        <f>D13+D20</f>
        <v>8667973.3984000012</v>
      </c>
      <c r="E22" s="31">
        <f>E13+E20</f>
        <v>10877944.233600002</v>
      </c>
      <c r="F22" s="31">
        <f>F13+F20</f>
        <v>13352312.060000001</v>
      </c>
      <c r="G22" s="31">
        <f>G13+G20</f>
        <v>15887578.6864</v>
      </c>
    </row>
    <row r="24" spans="2:7" x14ac:dyDescent="0.3">
      <c r="B24" s="3" t="s">
        <v>351</v>
      </c>
      <c r="C24" s="3"/>
      <c r="D24" s="3"/>
      <c r="E24" s="3"/>
      <c r="F24" s="3"/>
      <c r="G24" s="3"/>
    </row>
    <row r="25" spans="2:7" x14ac:dyDescent="0.3">
      <c r="B25" s="12" t="s">
        <v>352</v>
      </c>
      <c r="C25" s="28">
        <f>-'7. Marketing Cost'!C21</f>
        <v>-894000</v>
      </c>
      <c r="D25" s="28">
        <f>-'7. Marketing Cost'!D21</f>
        <v>-1140000</v>
      </c>
      <c r="E25" s="28">
        <f>-'7. Marketing Cost'!E21</f>
        <v>-1304000</v>
      </c>
      <c r="F25" s="28">
        <f>-'7. Marketing Cost'!F21</f>
        <v>-1462000</v>
      </c>
      <c r="G25" s="28">
        <f>-'7. Marketing Cost'!G21</f>
        <v>-1620000</v>
      </c>
    </row>
    <row r="26" spans="2:7" x14ac:dyDescent="0.3">
      <c r="B26" s="12" t="s">
        <v>353</v>
      </c>
      <c r="C26" s="28">
        <f>-'6. Tech Build Cost'!C24</f>
        <v>-320000</v>
      </c>
      <c r="D26" s="28">
        <f>-'6. Tech Build Cost'!D24</f>
        <v>-468000</v>
      </c>
      <c r="E26" s="28">
        <f>-'6. Tech Build Cost'!E24</f>
        <v>-570000</v>
      </c>
      <c r="F26" s="28">
        <f>-'6. Tech Build Cost'!F24</f>
        <v>-684000</v>
      </c>
      <c r="G26" s="28">
        <f>-'6. Tech Build Cost'!G24</f>
        <v>-798000</v>
      </c>
    </row>
    <row r="27" spans="2:7" x14ac:dyDescent="0.3">
      <c r="B27" s="12" t="s">
        <v>354</v>
      </c>
      <c r="C27" s="26">
        <v>-180000</v>
      </c>
      <c r="D27" s="26">
        <v>-216000</v>
      </c>
      <c r="E27" s="26">
        <v>-240000</v>
      </c>
      <c r="F27" s="26">
        <v>-264000</v>
      </c>
      <c r="G27" s="26">
        <v>-288000</v>
      </c>
    </row>
    <row r="28" spans="2:7" x14ac:dyDescent="0.3">
      <c r="B28" s="30" t="s">
        <v>355</v>
      </c>
      <c r="C28" s="31">
        <f>SUM(C25:C27)</f>
        <v>-1394000</v>
      </c>
      <c r="D28" s="31">
        <f>SUM(D25:D27)</f>
        <v>-1824000</v>
      </c>
      <c r="E28" s="31">
        <f>SUM(E25:E27)</f>
        <v>-2114000</v>
      </c>
      <c r="F28" s="31">
        <f>SUM(F25:F27)</f>
        <v>-2410000</v>
      </c>
      <c r="G28" s="31">
        <f>SUM(G25:G27)</f>
        <v>-2706000</v>
      </c>
    </row>
    <row r="30" spans="2:7" x14ac:dyDescent="0.3">
      <c r="B30" s="30" t="s">
        <v>356</v>
      </c>
      <c r="C30" s="31">
        <f>C22+C28</f>
        <v>6018771.745600001</v>
      </c>
      <c r="D30" s="31">
        <f>D22+D28</f>
        <v>6843973.3984000012</v>
      </c>
      <c r="E30" s="31">
        <f>E22+E28</f>
        <v>8763944.2336000018</v>
      </c>
      <c r="F30" s="31">
        <f>F22+F28</f>
        <v>10942312.060000001</v>
      </c>
      <c r="G30" s="31">
        <f>G22+G28</f>
        <v>13181578.6864</v>
      </c>
    </row>
    <row r="31" spans="2:7" x14ac:dyDescent="0.3">
      <c r="B31" s="13" t="s">
        <v>357</v>
      </c>
      <c r="C31" s="36">
        <f>IF(C13=0,0,C30/C13)</f>
        <v>0.55924879217703494</v>
      </c>
      <c r="D31" s="36">
        <f>IF(D13=0,0,D30/D13)</f>
        <v>0.50895978386134144</v>
      </c>
      <c r="E31" s="36">
        <f>IF(E13=0,0,E30/E13)</f>
        <v>0.53552487567005758</v>
      </c>
      <c r="F31" s="36">
        <f>IF(F13=0,0,F30/F13)</f>
        <v>0.56326473383714204</v>
      </c>
      <c r="G31" s="36">
        <f>IF(G13=0,0,G30/G13)</f>
        <v>0.58722916254803481</v>
      </c>
    </row>
    <row r="33" spans="2:7" x14ac:dyDescent="0.3">
      <c r="B33" s="13" t="s">
        <v>358</v>
      </c>
      <c r="C33" s="28">
        <f>-'6. Tech Build Cost'!C16</f>
        <v>-1560000</v>
      </c>
      <c r="D33" s="28">
        <f>-'6. Tech Build Cost'!D16</f>
        <v>0</v>
      </c>
      <c r="E33" s="28">
        <f>-'6. Tech Build Cost'!E16</f>
        <v>0</v>
      </c>
      <c r="F33" s="28">
        <f>-'6. Tech Build Cost'!F16</f>
        <v>0</v>
      </c>
      <c r="G33" s="28">
        <f>-'6. Tech Build Cost'!G16</f>
        <v>0</v>
      </c>
    </row>
    <row r="34" spans="2:7" x14ac:dyDescent="0.3">
      <c r="B34" s="30" t="s">
        <v>359</v>
      </c>
      <c r="C34" s="31">
        <f>C30+C33</f>
        <v>4458771.745600001</v>
      </c>
      <c r="D34" s="31">
        <f>D30+D33</f>
        <v>6843973.3984000012</v>
      </c>
      <c r="E34" s="31">
        <f>E30+E33</f>
        <v>8763944.2336000018</v>
      </c>
      <c r="F34" s="31">
        <f>F30+F33</f>
        <v>10942312.060000001</v>
      </c>
      <c r="G34" s="31">
        <f>G30+G33</f>
        <v>13181578.6864</v>
      </c>
    </row>
    <row r="36" spans="2:7" x14ac:dyDescent="0.3">
      <c r="B36" s="11" t="s">
        <v>360</v>
      </c>
      <c r="C36" s="33">
        <f>C30</f>
        <v>6018771.745600001</v>
      </c>
      <c r="D36" s="33">
        <f>C36+D30</f>
        <v>12862745.144000001</v>
      </c>
      <c r="E36" s="33">
        <f>D36+E30</f>
        <v>21626689.377600003</v>
      </c>
      <c r="F36" s="33">
        <f>E36+F30</f>
        <v>32569001.437600002</v>
      </c>
      <c r="G36" s="33">
        <f>F36+G30</f>
        <v>45750580.123999998</v>
      </c>
    </row>
    <row r="38" spans="2:7" ht="30" customHeight="1" x14ac:dyDescent="0.3">
      <c r="B38" s="1" t="s">
        <v>361</v>
      </c>
      <c r="C38" s="1"/>
      <c r="D38" s="1"/>
      <c r="E38" s="1"/>
      <c r="F38" s="1"/>
      <c r="G38" s="1"/>
    </row>
  </sheetData>
  <mergeCells count="4">
    <mergeCell ref="B7:G7"/>
    <mergeCell ref="B15:G15"/>
    <mergeCell ref="B24:G24"/>
    <mergeCell ref="B38:G38"/>
  </mergeCells>
  <pageMargins left="0.75" right="0.75" top="1" bottom="1" header="0.511811023622047" footer="0.511811023622047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F44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38" customWidth="1"/>
    <col min="3" max="5" width="16" customWidth="1"/>
    <col min="6" max="6" width="35" customWidth="1"/>
  </cols>
  <sheetData>
    <row r="2" spans="2:6" ht="22.8" x14ac:dyDescent="0.4">
      <c r="B2" s="19" t="s">
        <v>362</v>
      </c>
    </row>
    <row r="3" spans="2:6" x14ac:dyDescent="0.3">
      <c r="B3" s="20" t="s">
        <v>363</v>
      </c>
    </row>
    <row r="5" spans="2:6" x14ac:dyDescent="0.3">
      <c r="B5" s="10"/>
      <c r="C5" s="27" t="s">
        <v>364</v>
      </c>
      <c r="D5" s="27" t="s">
        <v>365</v>
      </c>
      <c r="E5" s="27" t="s">
        <v>366</v>
      </c>
      <c r="F5" s="10" t="s">
        <v>275</v>
      </c>
    </row>
    <row r="7" spans="2:6" x14ac:dyDescent="0.3">
      <c r="B7" s="3" t="s">
        <v>367</v>
      </c>
      <c r="C7" s="3"/>
      <c r="D7" s="3"/>
      <c r="E7" s="3"/>
      <c r="F7" s="3"/>
    </row>
    <row r="8" spans="2:6" x14ac:dyDescent="0.3">
      <c r="B8" s="12" t="s">
        <v>368</v>
      </c>
      <c r="C8" s="28">
        <f>SUM('6. Tech Build Cost'!C26:G26)</f>
        <v>4400000</v>
      </c>
      <c r="D8" s="28">
        <f>SUM('6. Tech Build Cost'!C26:G26)</f>
        <v>4400000</v>
      </c>
      <c r="E8" s="28">
        <f>SUM('6. Tech Build Cost'!C26:G26)</f>
        <v>4400000</v>
      </c>
      <c r="F8" s="13" t="s">
        <v>369</v>
      </c>
    </row>
    <row r="9" spans="2:6" x14ac:dyDescent="0.3">
      <c r="B9" s="12" t="s">
        <v>370</v>
      </c>
      <c r="C9" s="33">
        <f>C8/0.7</f>
        <v>6285714.2857142864</v>
      </c>
      <c r="D9" s="33">
        <f>D8/0.7</f>
        <v>6285714.2857142864</v>
      </c>
      <c r="E9" s="33">
        <f>E8/0.7</f>
        <v>6285714.2857142864</v>
      </c>
      <c r="F9" s="13" t="s">
        <v>371</v>
      </c>
    </row>
    <row r="10" spans="2:6" x14ac:dyDescent="0.3">
      <c r="B10" s="12" t="s">
        <v>372</v>
      </c>
      <c r="C10" s="28">
        <f>SUM('7. Marketing Cost'!C21:G21)</f>
        <v>6420000</v>
      </c>
      <c r="D10" s="28">
        <f>SUM('7. Marketing Cost'!C21:G21)</f>
        <v>6420000</v>
      </c>
      <c r="E10" s="28">
        <f>SUM('7. Marketing Cost'!C21:G21)</f>
        <v>6420000</v>
      </c>
      <c r="F10" s="13" t="s">
        <v>373</v>
      </c>
    </row>
    <row r="11" spans="2:6" ht="26.4" x14ac:dyDescent="0.3">
      <c r="B11" s="12" t="s">
        <v>374</v>
      </c>
      <c r="C11" s="39">
        <v>3000000</v>
      </c>
      <c r="D11" s="39">
        <v>3000000</v>
      </c>
      <c r="E11" s="39">
        <v>3000000</v>
      </c>
      <c r="F11" s="13" t="s">
        <v>375</v>
      </c>
    </row>
    <row r="12" spans="2:6" x14ac:dyDescent="0.3">
      <c r="B12" s="12" t="s">
        <v>376</v>
      </c>
      <c r="C12" s="39">
        <v>2000000</v>
      </c>
      <c r="D12" s="39">
        <v>2000000</v>
      </c>
      <c r="E12" s="39">
        <v>2000000</v>
      </c>
      <c r="F12" s="13" t="s">
        <v>377</v>
      </c>
    </row>
    <row r="13" spans="2:6" x14ac:dyDescent="0.3">
      <c r="B13" s="30" t="s">
        <v>378</v>
      </c>
      <c r="C13" s="31">
        <f>C10+C11+C12</f>
        <v>11420000</v>
      </c>
      <c r="D13" s="31">
        <f>D10+D11+D12</f>
        <v>11420000</v>
      </c>
      <c r="E13" s="31">
        <f>E10+E11+E12</f>
        <v>11420000</v>
      </c>
    </row>
    <row r="14" spans="2:6" x14ac:dyDescent="0.3">
      <c r="B14" s="30" t="s">
        <v>379</v>
      </c>
      <c r="C14" s="31">
        <f>C9</f>
        <v>6285714.2857142864</v>
      </c>
      <c r="D14" s="31">
        <f>D9</f>
        <v>6285714.2857142864</v>
      </c>
      <c r="E14" s="31">
        <f>E9</f>
        <v>6285714.2857142864</v>
      </c>
    </row>
    <row r="15" spans="2:6" x14ac:dyDescent="0.3">
      <c r="B15" s="30" t="s">
        <v>380</v>
      </c>
      <c r="C15" s="31">
        <f>C13+C14</f>
        <v>17705714.285714287</v>
      </c>
      <c r="D15" s="31">
        <f>D13+D14</f>
        <v>17705714.285714287</v>
      </c>
      <c r="E15" s="31">
        <f>E13+E14</f>
        <v>17705714.285714287</v>
      </c>
    </row>
    <row r="17" spans="2:6" x14ac:dyDescent="0.3">
      <c r="B17" s="3" t="s">
        <v>381</v>
      </c>
      <c r="C17" s="3"/>
      <c r="D17" s="3"/>
      <c r="E17" s="3"/>
      <c r="F17" s="3"/>
    </row>
    <row r="18" spans="2:6" x14ac:dyDescent="0.3">
      <c r="B18" s="13" t="s">
        <v>382</v>
      </c>
      <c r="C18" s="36">
        <f>C14/C15</f>
        <v>0.3550104889462643</v>
      </c>
      <c r="D18" s="36">
        <f>D14/D15</f>
        <v>0.3550104889462643</v>
      </c>
      <c r="E18" s="36">
        <f>E14/E15</f>
        <v>0.3550104889462643</v>
      </c>
      <c r="F18" s="13" t="s">
        <v>383</v>
      </c>
    </row>
    <row r="19" spans="2:6" x14ac:dyDescent="0.3">
      <c r="B19" s="13" t="s">
        <v>384</v>
      </c>
      <c r="C19" s="36">
        <f>C13/C15</f>
        <v>0.64498951105373559</v>
      </c>
      <c r="D19" s="36">
        <f>D13/D15</f>
        <v>0.64498951105373559</v>
      </c>
      <c r="E19" s="36">
        <f>E13/E15</f>
        <v>0.64498951105373559</v>
      </c>
    </row>
    <row r="21" spans="2:6" x14ac:dyDescent="0.3">
      <c r="B21" s="3" t="s">
        <v>385</v>
      </c>
      <c r="C21" s="3"/>
      <c r="D21" s="3"/>
      <c r="E21" s="3"/>
      <c r="F21" s="3"/>
    </row>
    <row r="22" spans="2:6" ht="26.4" x14ac:dyDescent="0.3">
      <c r="B22" s="11" t="s">
        <v>386</v>
      </c>
      <c r="C22" s="24">
        <v>0.17499999999999999</v>
      </c>
      <c r="D22" s="24">
        <v>0.32500000000000001</v>
      </c>
      <c r="E22" s="24">
        <v>0.47499999999999998</v>
      </c>
      <c r="F22" s="13" t="s">
        <v>387</v>
      </c>
    </row>
    <row r="23" spans="2:6" x14ac:dyDescent="0.3">
      <c r="B23" s="11" t="s">
        <v>388</v>
      </c>
      <c r="C23" s="36">
        <f>1-C22</f>
        <v>0.82499999999999996</v>
      </c>
      <c r="D23" s="36">
        <f>1-D22</f>
        <v>0.67500000000000004</v>
      </c>
      <c r="E23" s="36">
        <f>1-E22</f>
        <v>0.52500000000000002</v>
      </c>
    </row>
    <row r="25" spans="2:6" x14ac:dyDescent="0.3">
      <c r="B25" s="3" t="s">
        <v>389</v>
      </c>
      <c r="C25" s="3"/>
      <c r="D25" s="3"/>
      <c r="E25" s="3"/>
      <c r="F25" s="3"/>
    </row>
    <row r="26" spans="2:6" x14ac:dyDescent="0.3">
      <c r="B26" s="12" t="s">
        <v>390</v>
      </c>
      <c r="C26" s="28">
        <f>'8. SPV Economics'!G30</f>
        <v>13181578.6864</v>
      </c>
      <c r="D26" s="28">
        <f>'8. SPV Economics'!G30</f>
        <v>13181578.6864</v>
      </c>
      <c r="E26" s="28">
        <f>'8. SPV Economics'!G30</f>
        <v>13181578.6864</v>
      </c>
    </row>
    <row r="27" spans="2:6" ht="26.4" x14ac:dyDescent="0.3">
      <c r="B27" s="12" t="s">
        <v>391</v>
      </c>
      <c r="C27" s="40">
        <v>4.5</v>
      </c>
      <c r="D27" s="40">
        <v>5.5</v>
      </c>
      <c r="E27" s="40">
        <v>5.5</v>
      </c>
      <c r="F27" s="13" t="s">
        <v>392</v>
      </c>
    </row>
    <row r="28" spans="2:6" x14ac:dyDescent="0.3">
      <c r="B28" s="30" t="s">
        <v>393</v>
      </c>
      <c r="C28" s="31">
        <f>C26*C27</f>
        <v>59317104.088799998</v>
      </c>
      <c r="D28" s="31">
        <f>D26*D27</f>
        <v>72498682.775199994</v>
      </c>
      <c r="E28" s="31">
        <f>E26*E27</f>
        <v>72498682.775199994</v>
      </c>
    </row>
    <row r="30" spans="2:6" x14ac:dyDescent="0.3">
      <c r="B30" s="3" t="s">
        <v>394</v>
      </c>
      <c r="C30" s="3"/>
      <c r="D30" s="3"/>
      <c r="E30" s="3"/>
      <c r="F30" s="3"/>
    </row>
    <row r="31" spans="2:6" x14ac:dyDescent="0.3">
      <c r="B31" s="11" t="s">
        <v>395</v>
      </c>
      <c r="C31" s="33">
        <f>C28*C22</f>
        <v>10380493.215539999</v>
      </c>
      <c r="D31" s="33">
        <f>D28*D22</f>
        <v>23562071.901939999</v>
      </c>
      <c r="E31" s="33">
        <f>E28*E22</f>
        <v>34436874.318219997</v>
      </c>
    </row>
    <row r="32" spans="2:6" x14ac:dyDescent="0.3">
      <c r="B32" s="11" t="s">
        <v>396</v>
      </c>
      <c r="C32" s="33">
        <f>C28*C23</f>
        <v>48936610.873259999</v>
      </c>
      <c r="D32" s="33">
        <f>D28*D23</f>
        <v>48936610.873259999</v>
      </c>
      <c r="E32" s="33">
        <f>E28*E23</f>
        <v>38061808.456979997</v>
      </c>
    </row>
    <row r="34" spans="2:6" x14ac:dyDescent="0.3">
      <c r="B34" s="3" t="s">
        <v>397</v>
      </c>
      <c r="C34" s="3"/>
      <c r="D34" s="3"/>
      <c r="E34" s="3"/>
      <c r="F34" s="3"/>
    </row>
    <row r="35" spans="2:6" x14ac:dyDescent="0.3">
      <c r="B35" s="12" t="s">
        <v>398</v>
      </c>
      <c r="C35" s="33">
        <f>C31</f>
        <v>10380493.215539999</v>
      </c>
      <c r="D35" s="33">
        <f>D31</f>
        <v>23562071.901939999</v>
      </c>
      <c r="E35" s="33">
        <f>E31</f>
        <v>34436874.318219997</v>
      </c>
    </row>
    <row r="36" spans="2:6" x14ac:dyDescent="0.3">
      <c r="B36" s="12" t="s">
        <v>399</v>
      </c>
      <c r="C36" s="33">
        <f>C9</f>
        <v>6285714.2857142864</v>
      </c>
      <c r="D36" s="33">
        <f>D9</f>
        <v>6285714.2857142864</v>
      </c>
      <c r="E36" s="33">
        <f>E9</f>
        <v>6285714.2857142864</v>
      </c>
    </row>
    <row r="37" spans="2:6" ht="26.4" x14ac:dyDescent="0.3">
      <c r="B37" s="11" t="s">
        <v>400</v>
      </c>
      <c r="C37" s="41">
        <f>IF(C36=0,0,C35/C36)</f>
        <v>1.6514421024722725</v>
      </c>
      <c r="D37" s="41">
        <f>IF(D36=0,0,D35/D36)</f>
        <v>3.7485114389449996</v>
      </c>
      <c r="E37" s="41">
        <f>IF(E36=0,0,E35/E36)</f>
        <v>5.4785936415349985</v>
      </c>
    </row>
    <row r="39" spans="2:6" x14ac:dyDescent="0.3">
      <c r="B39" s="3" t="s">
        <v>401</v>
      </c>
      <c r="C39" s="3"/>
      <c r="D39" s="3"/>
      <c r="E39" s="3"/>
      <c r="F39" s="3"/>
    </row>
    <row r="40" spans="2:6" x14ac:dyDescent="0.3">
      <c r="B40" s="12" t="s">
        <v>402</v>
      </c>
      <c r="C40" s="33">
        <f>C32</f>
        <v>48936610.873259999</v>
      </c>
      <c r="D40" s="33">
        <f>D32</f>
        <v>48936610.873259999</v>
      </c>
      <c r="E40" s="33">
        <f>E32</f>
        <v>38061808.456979997</v>
      </c>
    </row>
    <row r="41" spans="2:6" x14ac:dyDescent="0.3">
      <c r="B41" s="12" t="s">
        <v>403</v>
      </c>
      <c r="C41" s="33">
        <f>C10</f>
        <v>6420000</v>
      </c>
      <c r="D41" s="33">
        <f>D10</f>
        <v>6420000</v>
      </c>
      <c r="E41" s="33">
        <f>E10</f>
        <v>6420000</v>
      </c>
    </row>
    <row r="42" spans="2:6" x14ac:dyDescent="0.3">
      <c r="B42" s="11" t="s">
        <v>404</v>
      </c>
      <c r="C42" s="41">
        <f>IF(C41=0,0,C40/C41)</f>
        <v>7.6225250581401864</v>
      </c>
      <c r="D42" s="41">
        <f>IF(D41=0,0,D40/D41)</f>
        <v>7.6225250581401864</v>
      </c>
      <c r="E42" s="41">
        <f>IF(E41=0,0,E40/E41)</f>
        <v>5.9286306007757004</v>
      </c>
    </row>
    <row r="44" spans="2:6" ht="39.75" customHeight="1" x14ac:dyDescent="0.3">
      <c r="B44" s="1" t="s">
        <v>405</v>
      </c>
      <c r="C44" s="1"/>
      <c r="D44" s="1"/>
      <c r="E44" s="1"/>
      <c r="F44" s="1"/>
    </row>
  </sheetData>
  <mergeCells count="8">
    <mergeCell ref="B34:F34"/>
    <mergeCell ref="B39:F39"/>
    <mergeCell ref="B44:F44"/>
    <mergeCell ref="B7:F7"/>
    <mergeCell ref="B17:F17"/>
    <mergeCell ref="B21:F21"/>
    <mergeCell ref="B25:F25"/>
    <mergeCell ref="B30:F30"/>
  </mergeCells>
  <pageMargins left="0.75" right="0.75" top="1" bottom="1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H27"/>
  <sheetViews>
    <sheetView zoomScaleNormal="100" workbookViewId="0"/>
  </sheetViews>
  <sheetFormatPr defaultColWidth="8.6640625" defaultRowHeight="14.4" x14ac:dyDescent="0.3"/>
  <cols>
    <col min="1" max="1" width="3" customWidth="1"/>
    <col min="2" max="2" width="42" customWidth="1"/>
    <col min="3" max="7" width="17" customWidth="1"/>
    <col min="8" max="8" width="30" customWidth="1"/>
  </cols>
  <sheetData>
    <row r="2" spans="2:8" ht="22.8" x14ac:dyDescent="0.4">
      <c r="B2" s="19" t="s">
        <v>406</v>
      </c>
    </row>
    <row r="3" spans="2:8" x14ac:dyDescent="0.3">
      <c r="B3" s="20" t="s">
        <v>407</v>
      </c>
    </row>
    <row r="5" spans="2:8" x14ac:dyDescent="0.3">
      <c r="B5" s="10" t="s">
        <v>408</v>
      </c>
      <c r="C5" s="10" t="s">
        <v>409</v>
      </c>
      <c r="D5" s="10" t="s">
        <v>410</v>
      </c>
      <c r="E5" s="10" t="s">
        <v>411</v>
      </c>
      <c r="F5" s="10" t="s">
        <v>412</v>
      </c>
      <c r="G5" s="10" t="s">
        <v>275</v>
      </c>
    </row>
    <row r="7" spans="2:8" ht="26.4" x14ac:dyDescent="0.3">
      <c r="B7" s="11" t="s">
        <v>413</v>
      </c>
      <c r="C7" s="28">
        <f>'8. SPV Economics'!G13</f>
        <v>22447077.780000001</v>
      </c>
      <c r="D7" s="28">
        <f>'8. SPV Economics'!G30</f>
        <v>13181578.6864</v>
      </c>
      <c r="E7" s="36">
        <f>IF(C7=0,0,D7/C7)</f>
        <v>0.58722916254803481</v>
      </c>
      <c r="F7" s="33">
        <f>D7*5</f>
        <v>65907893.431999996</v>
      </c>
      <c r="G7" s="13" t="s">
        <v>414</v>
      </c>
    </row>
    <row r="9" spans="2:8" x14ac:dyDescent="0.3">
      <c r="B9" s="3" t="s">
        <v>415</v>
      </c>
      <c r="C9" s="3"/>
      <c r="D9" s="3"/>
      <c r="E9" s="3"/>
      <c r="F9" s="3"/>
      <c r="G9" s="3"/>
      <c r="H9" s="3"/>
    </row>
    <row r="10" spans="2:8" ht="26.4" x14ac:dyDescent="0.3">
      <c r="B10" s="12" t="s">
        <v>416</v>
      </c>
      <c r="C10" s="33">
        <f>C7*0.92</f>
        <v>20651311.557600003</v>
      </c>
      <c r="D10" s="33">
        <f>D7*0.55</f>
        <v>7249868.2775200009</v>
      </c>
      <c r="E10" s="36">
        <f>IF(C10=0,0,D10/C10)</f>
        <v>0.35106091239284687</v>
      </c>
      <c r="F10" s="33">
        <f>D10*5</f>
        <v>36249341.387600005</v>
      </c>
      <c r="G10" s="13" t="s">
        <v>417</v>
      </c>
    </row>
    <row r="11" spans="2:8" ht="26.4" x14ac:dyDescent="0.3">
      <c r="B11" s="12" t="s">
        <v>418</v>
      </c>
      <c r="C11" s="33">
        <f>C7*0.78</f>
        <v>17508720.668400001</v>
      </c>
      <c r="D11" s="33">
        <f>D7*0.5</f>
        <v>6590789.3432</v>
      </c>
      <c r="E11" s="36">
        <f>IF(C11=0,0,D11/C11)</f>
        <v>0.37642895035130436</v>
      </c>
      <c r="F11" s="33">
        <f>D11*5</f>
        <v>32953946.715999998</v>
      </c>
      <c r="G11" s="13" t="s">
        <v>419</v>
      </c>
    </row>
    <row r="12" spans="2:8" ht="26.4" x14ac:dyDescent="0.3">
      <c r="B12" s="12" t="s">
        <v>420</v>
      </c>
      <c r="C12" s="33">
        <f>C7*0.85</f>
        <v>19080016.113000002</v>
      </c>
      <c r="D12" s="33">
        <f>D7*0.6</f>
        <v>7908947.21184</v>
      </c>
      <c r="E12" s="36">
        <f>IF(C12=0,0,D12/C12)</f>
        <v>0.41451470297508336</v>
      </c>
      <c r="F12" s="33">
        <f>D12*5</f>
        <v>39544736.059200004</v>
      </c>
      <c r="G12" s="13" t="s">
        <v>421</v>
      </c>
    </row>
    <row r="13" spans="2:8" ht="39.6" x14ac:dyDescent="0.3">
      <c r="B13" s="12" t="s">
        <v>422</v>
      </c>
      <c r="C13" s="33">
        <f>C7*0.92</f>
        <v>20651311.557600003</v>
      </c>
      <c r="D13" s="33">
        <f>D7*0.7</f>
        <v>9227105.08048</v>
      </c>
      <c r="E13" s="36">
        <f>IF(C13=0,0,D13/C13)</f>
        <v>0.44680479759089597</v>
      </c>
      <c r="F13" s="33">
        <f>D13*5</f>
        <v>46135525.402400002</v>
      </c>
      <c r="G13" s="13" t="s">
        <v>423</v>
      </c>
    </row>
    <row r="14" spans="2:8" ht="26.4" x14ac:dyDescent="0.3">
      <c r="B14" s="12" t="s">
        <v>424</v>
      </c>
      <c r="C14" s="33">
        <f>C7*0.55</f>
        <v>12345892.779000001</v>
      </c>
      <c r="D14" s="33">
        <f>D7*0.15</f>
        <v>1977236.80296</v>
      </c>
      <c r="E14" s="36">
        <f>IF(C14=0,0,D14/C14)</f>
        <v>0.16015340796764585</v>
      </c>
      <c r="F14" s="33">
        <f>D14*5</f>
        <v>9886184.0148000009</v>
      </c>
      <c r="G14" s="13" t="s">
        <v>425</v>
      </c>
    </row>
    <row r="16" spans="2:8" x14ac:dyDescent="0.3">
      <c r="B16" s="3" t="s">
        <v>426</v>
      </c>
      <c r="C16" s="3"/>
      <c r="D16" s="3"/>
      <c r="E16" s="3"/>
      <c r="F16" s="3"/>
      <c r="G16" s="3"/>
      <c r="H16" s="3"/>
    </row>
    <row r="17" spans="2:8" ht="26.4" x14ac:dyDescent="0.3">
      <c r="B17" s="12" t="s">
        <v>427</v>
      </c>
      <c r="C17" s="33">
        <f>C7*1.07</f>
        <v>24018373.224600002</v>
      </c>
      <c r="D17" s="33">
        <f>D7*1.4</f>
        <v>18454210.16096</v>
      </c>
      <c r="E17" s="36">
        <f>IF(C17=0,0,D17/C17)</f>
        <v>0.76833722202546606</v>
      </c>
      <c r="F17" s="33">
        <f>D17*5</f>
        <v>92271050.804800004</v>
      </c>
      <c r="G17" s="13" t="s">
        <v>428</v>
      </c>
    </row>
    <row r="18" spans="2:8" ht="39.6" x14ac:dyDescent="0.3">
      <c r="B18" s="12" t="s">
        <v>429</v>
      </c>
      <c r="C18" s="33">
        <f>C7*1.1</f>
        <v>24691785.558000002</v>
      </c>
      <c r="D18" s="33">
        <f>D7*1.25</f>
        <v>16476973.357999999</v>
      </c>
      <c r="E18" s="36">
        <f>IF(C18=0,0,D18/C18)</f>
        <v>0.66730586653185764</v>
      </c>
      <c r="F18" s="33">
        <f>D18*5</f>
        <v>82384866.789999992</v>
      </c>
      <c r="G18" s="13" t="s">
        <v>430</v>
      </c>
    </row>
    <row r="19" spans="2:8" ht="26.4" x14ac:dyDescent="0.3">
      <c r="B19" s="12" t="s">
        <v>431</v>
      </c>
      <c r="C19" s="33">
        <f>C7*1.2</f>
        <v>26936493.335999999</v>
      </c>
      <c r="D19" s="33">
        <f>D7*1.5</f>
        <v>19772368.029600002</v>
      </c>
      <c r="E19" s="36">
        <f>IF(C19=0,0,D19/C19)</f>
        <v>0.73403645318504362</v>
      </c>
      <c r="F19" s="33">
        <f>D19*5</f>
        <v>98861840.148000002</v>
      </c>
      <c r="G19" s="13" t="s">
        <v>432</v>
      </c>
    </row>
    <row r="20" spans="2:8" ht="26.4" x14ac:dyDescent="0.3">
      <c r="B20" s="12" t="s">
        <v>433</v>
      </c>
      <c r="C20" s="33">
        <f>C7*1.45</f>
        <v>32548262.780999999</v>
      </c>
      <c r="D20" s="33">
        <f>D7*2.5</f>
        <v>32953946.715999998</v>
      </c>
      <c r="E20" s="36">
        <f>IF(C20=0,0,D20/C20)</f>
        <v>1.0124640733586807</v>
      </c>
      <c r="F20" s="33">
        <f>D20*5</f>
        <v>164769733.57999998</v>
      </c>
      <c r="G20" s="13" t="s">
        <v>434</v>
      </c>
    </row>
    <row r="23" spans="2:8" x14ac:dyDescent="0.3">
      <c r="B23" s="3" t="s">
        <v>435</v>
      </c>
      <c r="C23" s="3"/>
      <c r="D23" s="3"/>
      <c r="E23" s="3"/>
      <c r="F23" s="3"/>
      <c r="G23" s="3"/>
      <c r="H23" s="3"/>
    </row>
    <row r="24" spans="2:8" ht="30" customHeight="1" x14ac:dyDescent="0.3">
      <c r="B24" s="1" t="s">
        <v>436</v>
      </c>
      <c r="C24" s="1"/>
      <c r="D24" s="1"/>
      <c r="E24" s="1"/>
      <c r="F24" s="1"/>
      <c r="G24" s="1"/>
      <c r="H24" s="1"/>
    </row>
    <row r="25" spans="2:8" ht="30" customHeight="1" x14ac:dyDescent="0.3">
      <c r="B25" s="1" t="s">
        <v>437</v>
      </c>
      <c r="C25" s="1"/>
      <c r="D25" s="1"/>
      <c r="E25" s="1"/>
      <c r="F25" s="1"/>
      <c r="G25" s="1"/>
      <c r="H25" s="1"/>
    </row>
    <row r="26" spans="2:8" ht="30" customHeight="1" x14ac:dyDescent="0.3">
      <c r="B26" s="1" t="s">
        <v>438</v>
      </c>
      <c r="C26" s="1"/>
      <c r="D26" s="1"/>
      <c r="E26" s="1"/>
      <c r="F26" s="1"/>
      <c r="G26" s="1"/>
      <c r="H26" s="1"/>
    </row>
    <row r="27" spans="2:8" ht="30" customHeight="1" x14ac:dyDescent="0.3">
      <c r="B27" s="1" t="s">
        <v>439</v>
      </c>
      <c r="C27" s="1"/>
      <c r="D27" s="1"/>
      <c r="E27" s="1"/>
      <c r="F27" s="1"/>
      <c r="G27" s="1"/>
      <c r="H27" s="1"/>
    </row>
  </sheetData>
  <mergeCells count="7">
    <mergeCell ref="B26:H26"/>
    <mergeCell ref="B27:H27"/>
    <mergeCell ref="B9:H9"/>
    <mergeCell ref="B16:H16"/>
    <mergeCell ref="B23:H23"/>
    <mergeCell ref="B24:H24"/>
    <mergeCell ref="B25:H25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0. Cover</vt:lpstr>
      <vt:lpstr>1. Assumptions</vt:lpstr>
      <vt:lpstr>2. Dynamic Menu</vt:lpstr>
      <vt:lpstr>3. E-Catering</vt:lpstr>
      <vt:lpstr>4. Loyalty Club</vt:lpstr>
      <vt:lpstr>5. Franchise</vt:lpstr>
      <vt:lpstr>6. Tech Build Cost</vt:lpstr>
      <vt:lpstr>7. Marketing Cost</vt:lpstr>
      <vt:lpstr>8. SPV Economics</vt:lpstr>
      <vt:lpstr>9. Equity Scenarios</vt:lpstr>
      <vt:lpstr>10. Sensitivity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pc</cp:lastModifiedBy>
  <cp:revision>0</cp:revision>
  <dcterms:created xsi:type="dcterms:W3CDTF">2026-05-06T23:47:00Z</dcterms:created>
  <dcterms:modified xsi:type="dcterms:W3CDTF">2026-05-07T01:56:36Z</dcterms:modified>
  <dc:language>en-US</dc:language>
</cp:coreProperties>
</file>